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5.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6.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7.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8.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9.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0.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1.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Téléchargements\"/>
    </mc:Choice>
  </mc:AlternateContent>
  <bookViews>
    <workbookView xWindow="0" yWindow="0" windowWidth="28800" windowHeight="1243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7" i="1" l="1"/>
  <c r="F216" i="1"/>
  <c r="F215" i="1"/>
  <c r="F214" i="1"/>
  <c r="F213" i="1"/>
  <c r="F209" i="1"/>
  <c r="F208" i="1"/>
  <c r="F207" i="1"/>
  <c r="F206" i="1"/>
  <c r="F205" i="1"/>
  <c r="G196" i="1" l="1"/>
  <c r="J151" i="1"/>
  <c r="J150" i="1"/>
  <c r="J149" i="1"/>
  <c r="J148" i="1"/>
  <c r="J147" i="1"/>
  <c r="G195" i="1"/>
  <c r="F151" i="1"/>
  <c r="F150" i="1"/>
  <c r="F149" i="1"/>
  <c r="F147" i="1"/>
  <c r="F148" i="1"/>
  <c r="K241" i="1" l="1"/>
  <c r="K249" i="1"/>
  <c r="K242" i="1"/>
  <c r="K243" i="1"/>
  <c r="K244" i="1"/>
  <c r="J244" i="1"/>
  <c r="J243" i="1"/>
  <c r="G290" i="1"/>
  <c r="F294" i="1"/>
  <c r="F292" i="1"/>
  <c r="F291" i="1"/>
  <c r="G289" i="1"/>
  <c r="F289" i="1"/>
  <c r="F287" i="1"/>
  <c r="F286" i="1"/>
  <c r="F282" i="1"/>
  <c r="F277" i="1"/>
  <c r="F274" i="1"/>
  <c r="L261" i="1"/>
  <c r="L260" i="1"/>
  <c r="L258" i="1"/>
  <c r="L257" i="1"/>
  <c r="F247" i="1"/>
  <c r="K237" i="1" l="1"/>
  <c r="K238" i="1"/>
  <c r="K239" i="1"/>
  <c r="K236" i="1"/>
  <c r="K230" i="1"/>
  <c r="K231" i="1"/>
  <c r="K232" i="1"/>
  <c r="K233" i="1"/>
  <c r="K229" i="1"/>
  <c r="K240" i="1" l="1"/>
  <c r="L237" i="1" s="1"/>
  <c r="K234" i="1"/>
  <c r="F162" i="1"/>
  <c r="G162" i="1" s="1"/>
  <c r="F163" i="1"/>
  <c r="F164" i="1"/>
  <c r="H164" i="1" s="1"/>
  <c r="F165" i="1"/>
  <c r="I165" i="1" s="1"/>
  <c r="F166" i="1"/>
  <c r="G166" i="1" s="1"/>
  <c r="F167" i="1"/>
  <c r="F168" i="1"/>
  <c r="H168" i="1" s="1"/>
  <c r="F169" i="1"/>
  <c r="I169" i="1" s="1"/>
  <c r="F170" i="1"/>
  <c r="G170" i="1" s="1"/>
  <c r="F161" i="1"/>
  <c r="G161" i="1"/>
  <c r="H161" i="1"/>
  <c r="I161" i="1"/>
  <c r="G163" i="1"/>
  <c r="H163" i="1"/>
  <c r="I163" i="1"/>
  <c r="G164" i="1"/>
  <c r="I166" i="1"/>
  <c r="G167" i="1"/>
  <c r="H167" i="1"/>
  <c r="I167" i="1"/>
  <c r="G168" i="1"/>
  <c r="I170" i="1"/>
  <c r="F160" i="1"/>
  <c r="H160" i="1" s="1"/>
  <c r="L238" i="1" l="1"/>
  <c r="L236" i="1"/>
  <c r="L239" i="1"/>
  <c r="L230" i="1"/>
  <c r="L231" i="1"/>
  <c r="L233" i="1"/>
  <c r="L232" i="1"/>
  <c r="L229" i="1"/>
  <c r="H169" i="1"/>
  <c r="H165" i="1"/>
  <c r="I160" i="1"/>
  <c r="I162" i="1"/>
  <c r="H170" i="1"/>
  <c r="H166" i="1"/>
  <c r="H162" i="1"/>
  <c r="G160" i="1"/>
  <c r="I168" i="1"/>
  <c r="I164" i="1"/>
  <c r="G169" i="1"/>
  <c r="G165" i="1"/>
  <c r="I229" i="1"/>
  <c r="F229" i="1"/>
  <c r="J178" i="1" l="1"/>
  <c r="J177" i="1"/>
  <c r="J176" i="1"/>
  <c r="J174" i="1"/>
  <c r="J175" i="1"/>
  <c r="T12" i="1"/>
  <c r="T13" i="1"/>
  <c r="F315" i="1"/>
  <c r="F307" i="1" s="1"/>
  <c r="F314" i="1"/>
  <c r="F311" i="1"/>
  <c r="F310" i="1"/>
  <c r="F312" i="1"/>
  <c r="F313" i="1"/>
  <c r="F306" i="1"/>
  <c r="F304" i="1"/>
  <c r="F302" i="1"/>
  <c r="F303" i="1"/>
  <c r="F305" i="1"/>
  <c r="F301" i="1"/>
  <c r="F298" i="1"/>
  <c r="F299" i="1"/>
  <c r="F297" i="1"/>
  <c r="F300" i="1"/>
  <c r="I253" i="1"/>
  <c r="F253" i="1"/>
  <c r="L251" i="1"/>
  <c r="L221" i="1"/>
  <c r="I259" i="1"/>
  <c r="I260" i="1"/>
  <c r="I258" i="1"/>
  <c r="M251" i="1"/>
  <c r="I257" i="1"/>
  <c r="I247" i="1"/>
  <c r="I245" i="1"/>
  <c r="I243" i="1"/>
  <c r="I242" i="1"/>
  <c r="I244" i="1"/>
  <c r="I241" i="1"/>
  <c r="I237" i="1"/>
  <c r="H237" i="1" s="1"/>
  <c r="I240" i="1"/>
  <c r="I236" i="1"/>
  <c r="H236" i="1" s="1"/>
  <c r="I238" i="1"/>
  <c r="H238" i="1" s="1"/>
  <c r="I239" i="1"/>
  <c r="H239" i="1" s="1"/>
  <c r="M221" i="1"/>
  <c r="H246" i="1" s="1"/>
  <c r="I232" i="1"/>
  <c r="H232" i="1" s="1"/>
  <c r="I231" i="1"/>
  <c r="H231" i="1" s="1"/>
  <c r="I233" i="1"/>
  <c r="H233" i="1" s="1"/>
  <c r="I230" i="1"/>
  <c r="H230" i="1" s="1"/>
  <c r="I228" i="1"/>
  <c r="H228" i="1" s="1"/>
  <c r="I223" i="1"/>
  <c r="H223" i="1" s="1"/>
  <c r="I225" i="1"/>
  <c r="H225" i="1" s="1"/>
  <c r="I227" i="1"/>
  <c r="H227" i="1" s="1"/>
  <c r="I224" i="1"/>
  <c r="H224" i="1" s="1"/>
  <c r="I226" i="1"/>
  <c r="H226" i="1" s="1"/>
  <c r="I222" i="1"/>
  <c r="H222" i="1" s="1"/>
  <c r="H243" i="1" l="1"/>
  <c r="H241" i="1"/>
  <c r="H245" i="1"/>
  <c r="H258" i="1"/>
  <c r="H262" i="1"/>
  <c r="H264" i="1"/>
  <c r="H266" i="1"/>
  <c r="H268" i="1"/>
  <c r="H261" i="1"/>
  <c r="H263" i="1"/>
  <c r="H265" i="1"/>
  <c r="H267" i="1"/>
  <c r="H269" i="1"/>
  <c r="H244" i="1"/>
  <c r="H247" i="1"/>
  <c r="H260" i="1"/>
  <c r="H240" i="1"/>
  <c r="H242" i="1"/>
  <c r="H257" i="1"/>
  <c r="H259" i="1"/>
  <c r="H253" i="1"/>
  <c r="H229" i="1"/>
  <c r="K177" i="1"/>
  <c r="K175" i="1"/>
  <c r="K178" i="1"/>
  <c r="K174" i="1"/>
  <c r="K176" i="1"/>
  <c r="K182" i="1" s="1"/>
  <c r="F276" i="1"/>
  <c r="F275" i="1"/>
  <c r="J273" i="1"/>
  <c r="G282" i="1" s="1"/>
  <c r="G283" i="1" s="1"/>
  <c r="F269" i="1"/>
  <c r="F268" i="1"/>
  <c r="F267" i="1"/>
  <c r="F266" i="1"/>
  <c r="F265" i="1"/>
  <c r="F264" i="1"/>
  <c r="F263" i="1"/>
  <c r="F259" i="1"/>
  <c r="F261" i="1"/>
  <c r="F262" i="1"/>
  <c r="F258" i="1"/>
  <c r="F257" i="1"/>
  <c r="F260" i="1"/>
  <c r="K251" i="1"/>
  <c r="J251" i="1"/>
  <c r="K183" i="1" l="1"/>
  <c r="G297" i="1"/>
  <c r="G307" i="1"/>
  <c r="G315" i="1"/>
  <c r="K181" i="1"/>
  <c r="G302" i="1"/>
  <c r="G299" i="1"/>
  <c r="G310" i="1"/>
  <c r="G303" i="1"/>
  <c r="G298" i="1"/>
  <c r="G311" i="1"/>
  <c r="G304" i="1"/>
  <c r="G313" i="1"/>
  <c r="G306" i="1"/>
  <c r="G301" i="1"/>
  <c r="G312" i="1"/>
  <c r="G314" i="1"/>
  <c r="G305" i="1"/>
  <c r="G300" i="1"/>
  <c r="K221" i="1"/>
  <c r="J221" i="1"/>
  <c r="F245" i="1"/>
  <c r="F243" i="1"/>
  <c r="F242" i="1"/>
  <c r="F236" i="1"/>
  <c r="F246" i="1"/>
  <c r="F237" i="1"/>
  <c r="F241" i="1"/>
  <c r="F240" i="1"/>
  <c r="F244" i="1"/>
  <c r="F239" i="1"/>
  <c r="F238" i="1"/>
  <c r="F223" i="1"/>
  <c r="F231" i="1"/>
  <c r="F233" i="1"/>
  <c r="F227" i="1"/>
  <c r="F225" i="1"/>
  <c r="F224" i="1"/>
  <c r="F230" i="1"/>
  <c r="F232" i="1"/>
  <c r="F228" i="1"/>
  <c r="F226" i="1"/>
  <c r="F222" i="1"/>
  <c r="G237" i="1" l="1"/>
  <c r="G239" i="1"/>
  <c r="G241" i="1"/>
  <c r="G243" i="1"/>
  <c r="G245" i="1"/>
  <c r="G247" i="1"/>
  <c r="G223" i="1"/>
  <c r="G227" i="1"/>
  <c r="G231" i="1"/>
  <c r="G257" i="1"/>
  <c r="G259" i="1"/>
  <c r="G261" i="1"/>
  <c r="G263" i="1"/>
  <c r="G265" i="1"/>
  <c r="G267" i="1"/>
  <c r="G269" i="1"/>
  <c r="G253" i="1"/>
  <c r="G238" i="1"/>
  <c r="G240" i="1"/>
  <c r="G242" i="1"/>
  <c r="G244" i="1"/>
  <c r="G246" i="1"/>
  <c r="G225" i="1"/>
  <c r="G229" i="1"/>
  <c r="G233" i="1"/>
  <c r="G258" i="1"/>
  <c r="G260" i="1"/>
  <c r="G262" i="1"/>
  <c r="G264" i="1"/>
  <c r="G266" i="1"/>
  <c r="G268" i="1"/>
  <c r="G224" i="1"/>
  <c r="G228" i="1"/>
  <c r="G232" i="1"/>
  <c r="G236" i="1"/>
  <c r="G226" i="1"/>
  <c r="G230" i="1"/>
  <c r="G222" i="1"/>
  <c r="G287" i="1"/>
  <c r="G275" i="1"/>
  <c r="G276" i="1"/>
  <c r="G277" i="1"/>
  <c r="G278" i="1" s="1"/>
  <c r="G286" i="1"/>
  <c r="G274" i="1"/>
  <c r="F155" i="1"/>
  <c r="F182" i="1"/>
  <c r="F177" i="1"/>
  <c r="F176" i="1"/>
  <c r="F175" i="1"/>
  <c r="F174" i="1"/>
  <c r="T116" i="1"/>
  <c r="S116" i="1"/>
  <c r="R116" i="1"/>
  <c r="Q116" i="1"/>
  <c r="P116" i="1"/>
  <c r="T115" i="1"/>
  <c r="S115" i="1"/>
  <c r="R115" i="1"/>
  <c r="Q115" i="1"/>
  <c r="P115" i="1"/>
  <c r="T114" i="1"/>
  <c r="S114" i="1"/>
  <c r="R114" i="1"/>
  <c r="Q114" i="1"/>
  <c r="P114" i="1"/>
  <c r="T113" i="1"/>
  <c r="S113" i="1"/>
  <c r="R113" i="1"/>
  <c r="Q113" i="1"/>
  <c r="P113" i="1"/>
  <c r="T112" i="1"/>
  <c r="S112" i="1"/>
  <c r="R112" i="1"/>
  <c r="Q112" i="1"/>
  <c r="P112" i="1"/>
  <c r="T111" i="1"/>
  <c r="S111" i="1"/>
  <c r="R111" i="1"/>
  <c r="Q111" i="1"/>
  <c r="P111" i="1"/>
  <c r="T110" i="1"/>
  <c r="S110" i="1"/>
  <c r="R110" i="1"/>
  <c r="Q110" i="1"/>
  <c r="P110" i="1"/>
  <c r="T109" i="1"/>
  <c r="S109" i="1"/>
  <c r="R109" i="1"/>
  <c r="Q109" i="1"/>
  <c r="P109" i="1"/>
  <c r="T105" i="1"/>
  <c r="S105" i="1"/>
  <c r="R105" i="1"/>
  <c r="Q105" i="1"/>
  <c r="P105" i="1"/>
  <c r="T104" i="1"/>
  <c r="S104" i="1"/>
  <c r="R104" i="1"/>
  <c r="Q104" i="1"/>
  <c r="P104" i="1"/>
  <c r="T103" i="1"/>
  <c r="S103" i="1"/>
  <c r="R103" i="1"/>
  <c r="Q103" i="1"/>
  <c r="P103" i="1"/>
  <c r="T102" i="1"/>
  <c r="S102" i="1"/>
  <c r="R102" i="1"/>
  <c r="Q102" i="1"/>
  <c r="P102" i="1"/>
  <c r="T101" i="1"/>
  <c r="S101" i="1"/>
  <c r="R101" i="1"/>
  <c r="Q101" i="1"/>
  <c r="P101" i="1"/>
  <c r="T100" i="1"/>
  <c r="S100" i="1"/>
  <c r="R100" i="1"/>
  <c r="Q100" i="1"/>
  <c r="P100" i="1"/>
  <c r="T99" i="1"/>
  <c r="S99" i="1"/>
  <c r="R99" i="1"/>
  <c r="Q99" i="1"/>
  <c r="P99" i="1"/>
  <c r="T98" i="1"/>
  <c r="S98" i="1"/>
  <c r="R98" i="1"/>
  <c r="Q98" i="1"/>
  <c r="P98" i="1"/>
  <c r="T94" i="1"/>
  <c r="S94" i="1"/>
  <c r="R94" i="1"/>
  <c r="Q94" i="1"/>
  <c r="P94" i="1"/>
  <c r="T93" i="1"/>
  <c r="S93" i="1"/>
  <c r="R93" i="1"/>
  <c r="Q93" i="1"/>
  <c r="P93" i="1"/>
  <c r="T92" i="1"/>
  <c r="S92" i="1"/>
  <c r="R92" i="1"/>
  <c r="Q92" i="1"/>
  <c r="P92" i="1"/>
  <c r="T91" i="1"/>
  <c r="S91" i="1"/>
  <c r="R91" i="1"/>
  <c r="Q91" i="1"/>
  <c r="P91" i="1"/>
  <c r="T90" i="1"/>
  <c r="S90" i="1"/>
  <c r="R90" i="1"/>
  <c r="Q90" i="1"/>
  <c r="P90" i="1"/>
  <c r="T89" i="1"/>
  <c r="S89" i="1"/>
  <c r="R89" i="1"/>
  <c r="Q89" i="1"/>
  <c r="P89" i="1"/>
  <c r="T88" i="1"/>
  <c r="S88" i="1"/>
  <c r="R88" i="1"/>
  <c r="Q88" i="1"/>
  <c r="P88" i="1"/>
  <c r="T87" i="1"/>
  <c r="S87" i="1"/>
  <c r="R87" i="1"/>
  <c r="Q87" i="1"/>
  <c r="P87" i="1"/>
  <c r="T86" i="1"/>
  <c r="S86" i="1"/>
  <c r="R86" i="1"/>
  <c r="Q86" i="1"/>
  <c r="P86" i="1"/>
  <c r="T85" i="1"/>
  <c r="S85" i="1"/>
  <c r="R85" i="1"/>
  <c r="Q85" i="1"/>
  <c r="P85" i="1"/>
  <c r="T84" i="1"/>
  <c r="S84" i="1"/>
  <c r="R84" i="1"/>
  <c r="Q84" i="1"/>
  <c r="P84" i="1"/>
  <c r="T83" i="1"/>
  <c r="S83" i="1"/>
  <c r="R83" i="1"/>
  <c r="Q83" i="1"/>
  <c r="P83" i="1"/>
  <c r="T79" i="1"/>
  <c r="S79" i="1"/>
  <c r="R79" i="1"/>
  <c r="Q79" i="1"/>
  <c r="P79" i="1"/>
  <c r="T78" i="1"/>
  <c r="S78" i="1"/>
  <c r="R78" i="1"/>
  <c r="Q78" i="1"/>
  <c r="P78" i="1"/>
  <c r="T77" i="1"/>
  <c r="S77" i="1"/>
  <c r="R77" i="1"/>
  <c r="Q77" i="1"/>
  <c r="P77" i="1"/>
  <c r="T76" i="1"/>
  <c r="S76" i="1"/>
  <c r="R76" i="1"/>
  <c r="Q76" i="1"/>
  <c r="P76" i="1"/>
  <c r="T72" i="1"/>
  <c r="S72" i="1"/>
  <c r="R72" i="1"/>
  <c r="Q72" i="1"/>
  <c r="P72" i="1"/>
  <c r="T71" i="1"/>
  <c r="S71" i="1"/>
  <c r="R71" i="1"/>
  <c r="Q71" i="1"/>
  <c r="P71" i="1"/>
  <c r="T70" i="1"/>
  <c r="S70" i="1"/>
  <c r="R70" i="1"/>
  <c r="Q70" i="1"/>
  <c r="P70" i="1"/>
  <c r="T69" i="1"/>
  <c r="S69" i="1"/>
  <c r="R69" i="1"/>
  <c r="Q69" i="1"/>
  <c r="P69" i="1"/>
  <c r="T68" i="1"/>
  <c r="S68" i="1"/>
  <c r="R68" i="1"/>
  <c r="Q68" i="1"/>
  <c r="P68" i="1"/>
  <c r="T67" i="1"/>
  <c r="S67" i="1"/>
  <c r="R67" i="1"/>
  <c r="Q67" i="1"/>
  <c r="P67" i="1"/>
  <c r="T66" i="1"/>
  <c r="S66" i="1"/>
  <c r="R66" i="1"/>
  <c r="Q66" i="1"/>
  <c r="P66" i="1"/>
  <c r="T65" i="1"/>
  <c r="S65" i="1"/>
  <c r="R65" i="1"/>
  <c r="Q65" i="1"/>
  <c r="P65" i="1"/>
  <c r="T64" i="1"/>
  <c r="S64" i="1"/>
  <c r="R64" i="1"/>
  <c r="Q64" i="1"/>
  <c r="P64" i="1"/>
  <c r="T60" i="1"/>
  <c r="S60" i="1"/>
  <c r="R60" i="1"/>
  <c r="Q60" i="1"/>
  <c r="P60" i="1"/>
  <c r="T59" i="1"/>
  <c r="S59" i="1"/>
  <c r="R59" i="1"/>
  <c r="Q59" i="1"/>
  <c r="P59" i="1"/>
  <c r="T58" i="1"/>
  <c r="S58" i="1"/>
  <c r="R58" i="1"/>
  <c r="Q58" i="1"/>
  <c r="P58" i="1"/>
  <c r="T57" i="1"/>
  <c r="S57" i="1"/>
  <c r="R57" i="1"/>
  <c r="Q57" i="1"/>
  <c r="P57" i="1"/>
  <c r="T56" i="1"/>
  <c r="S56" i="1"/>
  <c r="R56" i="1"/>
  <c r="Q56" i="1"/>
  <c r="P56" i="1"/>
  <c r="T55" i="1"/>
  <c r="S55" i="1"/>
  <c r="R55" i="1"/>
  <c r="Q55" i="1"/>
  <c r="P55" i="1"/>
  <c r="T51" i="1"/>
  <c r="S51" i="1"/>
  <c r="R51" i="1"/>
  <c r="Q51" i="1"/>
  <c r="P51" i="1"/>
  <c r="T50" i="1"/>
  <c r="S50" i="1"/>
  <c r="R50" i="1"/>
  <c r="Q50" i="1"/>
  <c r="P50" i="1"/>
  <c r="T49" i="1"/>
  <c r="S49" i="1"/>
  <c r="R49" i="1"/>
  <c r="Q49" i="1"/>
  <c r="P49" i="1"/>
  <c r="T48" i="1"/>
  <c r="S48" i="1"/>
  <c r="R48" i="1"/>
  <c r="Q48" i="1"/>
  <c r="P48" i="1"/>
  <c r="T47" i="1"/>
  <c r="S47" i="1"/>
  <c r="R47" i="1"/>
  <c r="Q47" i="1"/>
  <c r="P47" i="1"/>
  <c r="T46" i="1"/>
  <c r="S46" i="1"/>
  <c r="R46" i="1"/>
  <c r="Q46" i="1"/>
  <c r="P46" i="1"/>
  <c r="T45" i="1"/>
  <c r="S45" i="1"/>
  <c r="R45" i="1"/>
  <c r="Q45" i="1"/>
  <c r="P45" i="1"/>
  <c r="T41" i="1"/>
  <c r="S41" i="1"/>
  <c r="R41" i="1"/>
  <c r="Q41" i="1"/>
  <c r="P41" i="1"/>
  <c r="T40" i="1"/>
  <c r="S40" i="1"/>
  <c r="R40" i="1"/>
  <c r="Q40" i="1"/>
  <c r="P40" i="1"/>
  <c r="T39" i="1"/>
  <c r="S39" i="1"/>
  <c r="R39" i="1"/>
  <c r="Q39" i="1"/>
  <c r="P39" i="1"/>
  <c r="T35" i="1"/>
  <c r="S35" i="1"/>
  <c r="R35" i="1"/>
  <c r="Q35" i="1"/>
  <c r="P35" i="1"/>
  <c r="T34" i="1"/>
  <c r="S34" i="1"/>
  <c r="R34" i="1"/>
  <c r="Q34" i="1"/>
  <c r="P34" i="1"/>
  <c r="T33" i="1"/>
  <c r="S33" i="1"/>
  <c r="R33" i="1"/>
  <c r="Q33" i="1"/>
  <c r="P33" i="1"/>
  <c r="T32" i="1"/>
  <c r="S32" i="1"/>
  <c r="R32" i="1"/>
  <c r="Q32" i="1"/>
  <c r="P32" i="1"/>
  <c r="T31" i="1"/>
  <c r="S31" i="1"/>
  <c r="R31" i="1"/>
  <c r="Q31" i="1"/>
  <c r="P31" i="1"/>
  <c r="T30" i="1"/>
  <c r="S30" i="1"/>
  <c r="R30" i="1"/>
  <c r="Q30" i="1"/>
  <c r="P30" i="1"/>
  <c r="T29" i="1"/>
  <c r="S29" i="1"/>
  <c r="R29" i="1"/>
  <c r="Q29" i="1"/>
  <c r="P29" i="1"/>
  <c r="T25" i="1"/>
  <c r="S25" i="1"/>
  <c r="R25" i="1"/>
  <c r="Q25" i="1"/>
  <c r="P25" i="1"/>
  <c r="T24" i="1"/>
  <c r="S24" i="1"/>
  <c r="R24" i="1"/>
  <c r="Q24" i="1"/>
  <c r="P24" i="1"/>
  <c r="T23" i="1"/>
  <c r="S23" i="1"/>
  <c r="R23" i="1"/>
  <c r="Q23" i="1"/>
  <c r="P23" i="1"/>
  <c r="T22" i="1"/>
  <c r="S22" i="1"/>
  <c r="R22" i="1"/>
  <c r="Q22" i="1"/>
  <c r="P22" i="1"/>
  <c r="T21" i="1"/>
  <c r="S21" i="1"/>
  <c r="R21" i="1"/>
  <c r="Q21" i="1"/>
  <c r="P21" i="1"/>
  <c r="T17" i="1"/>
  <c r="S17" i="1"/>
  <c r="R17" i="1"/>
  <c r="Q17" i="1"/>
  <c r="P17" i="1"/>
  <c r="T16" i="1"/>
  <c r="S16" i="1"/>
  <c r="R16" i="1"/>
  <c r="Q16" i="1"/>
  <c r="P16" i="1"/>
  <c r="T15" i="1"/>
  <c r="S15" i="1"/>
  <c r="R15" i="1"/>
  <c r="Q15" i="1"/>
  <c r="P15" i="1"/>
  <c r="T14" i="1"/>
  <c r="S14" i="1"/>
  <c r="R14" i="1"/>
  <c r="Q14" i="1"/>
  <c r="P14" i="1"/>
  <c r="S13" i="1"/>
  <c r="R13" i="1"/>
  <c r="Q13" i="1"/>
  <c r="P13" i="1"/>
  <c r="S12" i="1"/>
  <c r="R12" i="1"/>
  <c r="Q12" i="1"/>
  <c r="P12" i="1"/>
  <c r="T11" i="1"/>
  <c r="S11" i="1"/>
  <c r="R11" i="1"/>
  <c r="Q11" i="1"/>
  <c r="P11" i="1"/>
  <c r="T10" i="1"/>
  <c r="S10" i="1"/>
  <c r="R10" i="1"/>
  <c r="Q10" i="1"/>
  <c r="P10" i="1"/>
  <c r="T9" i="1"/>
  <c r="S9" i="1"/>
  <c r="R9" i="1"/>
  <c r="Q9" i="1"/>
  <c r="P9" i="1"/>
  <c r="T8" i="1"/>
  <c r="S8" i="1"/>
  <c r="R8" i="1"/>
  <c r="Q8" i="1"/>
  <c r="P8" i="1"/>
  <c r="T7" i="1"/>
  <c r="S7" i="1"/>
  <c r="R7" i="1"/>
  <c r="Q7" i="1"/>
  <c r="P7" i="1"/>
  <c r="T6" i="1"/>
  <c r="S6" i="1"/>
  <c r="R6" i="1"/>
  <c r="Q6" i="1"/>
  <c r="P6" i="1"/>
  <c r="F178" i="1"/>
  <c r="J152" i="1" l="1"/>
  <c r="F152" i="1"/>
  <c r="H150" i="1"/>
  <c r="H147" i="1"/>
  <c r="F156" i="1"/>
  <c r="G156" i="1" s="1"/>
  <c r="G148" i="1"/>
  <c r="G150" i="1"/>
  <c r="K148" i="1"/>
  <c r="G149" i="1"/>
  <c r="H148" i="1"/>
  <c r="G155" i="1"/>
  <c r="G147" i="1"/>
  <c r="G151" i="1"/>
  <c r="H151" i="1"/>
  <c r="K151" i="1"/>
  <c r="K150" i="1"/>
  <c r="K149" i="1"/>
  <c r="L155" i="1" s="1"/>
  <c r="J154" i="1"/>
  <c r="K154" i="1" s="1"/>
  <c r="J156" i="1"/>
  <c r="K156" i="1" s="1"/>
  <c r="K147" i="1"/>
  <c r="F154" i="1"/>
  <c r="U14" i="1"/>
  <c r="U41" i="1"/>
  <c r="U46" i="1"/>
  <c r="U64" i="1"/>
  <c r="Q73" i="1"/>
  <c r="U10" i="1"/>
  <c r="S26" i="1"/>
  <c r="P36" i="1"/>
  <c r="U32" i="1"/>
  <c r="U59" i="1"/>
  <c r="U103" i="1"/>
  <c r="U23" i="1"/>
  <c r="U50" i="1"/>
  <c r="U68" i="1"/>
  <c r="R106" i="1"/>
  <c r="U112" i="1"/>
  <c r="Q18" i="1"/>
  <c r="U6" i="1"/>
  <c r="Q61" i="1"/>
  <c r="U55" i="1"/>
  <c r="U72" i="1"/>
  <c r="U99" i="1"/>
  <c r="U116" i="1"/>
  <c r="U11" i="1"/>
  <c r="U15" i="1"/>
  <c r="P26" i="1"/>
  <c r="T26" i="1"/>
  <c r="U29" i="1"/>
  <c r="Q36" i="1"/>
  <c r="U33" i="1"/>
  <c r="P42" i="1"/>
  <c r="U51" i="1"/>
  <c r="U56" i="1"/>
  <c r="U65" i="1"/>
  <c r="U69" i="1"/>
  <c r="Q95" i="1"/>
  <c r="U91" i="1"/>
  <c r="U100" i="1"/>
  <c r="U104" i="1"/>
  <c r="U109" i="1"/>
  <c r="U113" i="1"/>
  <c r="U16" i="1"/>
  <c r="Q26" i="1"/>
  <c r="U21" i="1"/>
  <c r="U30" i="1"/>
  <c r="U34" i="1"/>
  <c r="U39" i="1"/>
  <c r="Q42" i="1"/>
  <c r="U48" i="1"/>
  <c r="U57" i="1"/>
  <c r="U66" i="1"/>
  <c r="U70" i="1"/>
  <c r="U92" i="1"/>
  <c r="P106" i="1"/>
  <c r="U101" i="1"/>
  <c r="U110" i="1"/>
  <c r="U9" i="1"/>
  <c r="U13" i="1"/>
  <c r="U17" i="1"/>
  <c r="R26" i="1"/>
  <c r="U31" i="1"/>
  <c r="U35" i="1"/>
  <c r="U45" i="1"/>
  <c r="Q52" i="1"/>
  <c r="U49" i="1"/>
  <c r="U58" i="1"/>
  <c r="U76" i="1"/>
  <c r="Q80" i="1"/>
  <c r="U85" i="1"/>
  <c r="U89" i="1"/>
  <c r="U93" i="1"/>
  <c r="U98" i="1"/>
  <c r="Q106" i="1"/>
  <c r="U102" i="1"/>
  <c r="U115" i="1"/>
  <c r="Q117" i="1"/>
  <c r="P117" i="1"/>
  <c r="T106" i="1"/>
  <c r="S106" i="1"/>
  <c r="F183" i="1"/>
  <c r="F181" i="1"/>
  <c r="F172" i="1"/>
  <c r="G177" i="1" s="1"/>
  <c r="R117" i="1"/>
  <c r="S117" i="1"/>
  <c r="T117" i="1"/>
  <c r="R95" i="1"/>
  <c r="U90" i="1"/>
  <c r="U87" i="1"/>
  <c r="U86" i="1"/>
  <c r="U78" i="1"/>
  <c r="L154" i="1" l="1"/>
  <c r="L156" i="1"/>
  <c r="H156" i="1"/>
  <c r="H181" i="1"/>
  <c r="G181" i="1"/>
  <c r="H183" i="1"/>
  <c r="G154" i="1"/>
  <c r="H154" i="1"/>
  <c r="H196" i="1"/>
  <c r="U36" i="1"/>
  <c r="W36" i="1"/>
  <c r="W61" i="1"/>
  <c r="U61" i="1"/>
  <c r="W80" i="1"/>
  <c r="U80" i="1"/>
  <c r="U42" i="1"/>
  <c r="W42" i="1"/>
  <c r="W106" i="1"/>
  <c r="U106" i="1"/>
  <c r="W26" i="1"/>
  <c r="U26" i="1"/>
  <c r="U117" i="1"/>
  <c r="W117" i="1"/>
  <c r="W95" i="1"/>
  <c r="U95" i="1"/>
  <c r="W52" i="1"/>
  <c r="U52" i="1"/>
  <c r="P80" i="1"/>
  <c r="P95" i="1"/>
  <c r="P118" i="1" s="1"/>
  <c r="T95" i="1"/>
  <c r="G182" i="1"/>
  <c r="G183" i="1"/>
  <c r="G178" i="1"/>
  <c r="G174" i="1"/>
  <c r="G175" i="1"/>
  <c r="G176" i="1"/>
  <c r="S95" i="1"/>
  <c r="R80" i="1"/>
  <c r="T80" i="1"/>
  <c r="S80" i="1"/>
  <c r="U71" i="1"/>
  <c r="W73" i="1" s="1"/>
  <c r="R61" i="1"/>
  <c r="P61" i="1"/>
  <c r="R42" i="1"/>
  <c r="H195" i="1" l="1"/>
  <c r="G191" i="1"/>
  <c r="H191" i="1" s="1"/>
  <c r="U73" i="1"/>
  <c r="G187" i="1" s="1"/>
  <c r="H187" i="1" s="1"/>
  <c r="P52" i="1"/>
  <c r="U47" i="1"/>
  <c r="P73" i="1"/>
  <c r="S42" i="1"/>
  <c r="T52" i="1"/>
  <c r="R73" i="1"/>
  <c r="R52" i="1"/>
  <c r="T42" i="1"/>
  <c r="S52" i="1"/>
  <c r="T73" i="1"/>
  <c r="S73" i="1"/>
  <c r="T61" i="1"/>
  <c r="S61" i="1"/>
  <c r="S36" i="1" l="1"/>
  <c r="R36" i="1"/>
  <c r="T36" i="1"/>
  <c r="U12" i="1"/>
  <c r="F210" i="1" l="1"/>
  <c r="F211" i="1"/>
  <c r="G192" i="1"/>
  <c r="H192" i="1" s="1"/>
  <c r="G188" i="1"/>
  <c r="H188" i="1" s="1"/>
  <c r="U18" i="1"/>
  <c r="W18" i="1"/>
  <c r="P18" i="1"/>
  <c r="P119" i="1" s="1"/>
  <c r="T18" i="1"/>
  <c r="R18" i="1"/>
  <c r="S18" i="1"/>
  <c r="F202" i="1" l="1"/>
  <c r="F199" i="1"/>
  <c r="F203" i="1"/>
  <c r="G202" i="1" s="1"/>
  <c r="G214" i="1"/>
  <c r="G213" i="1"/>
  <c r="G215" i="1"/>
  <c r="F200" i="1"/>
  <c r="G200" i="1" s="1"/>
  <c r="G203" i="1" l="1"/>
  <c r="G217" i="1"/>
  <c r="G216" i="1"/>
  <c r="G207" i="1"/>
  <c r="G208" i="1"/>
  <c r="G210" i="1"/>
  <c r="G205" i="1"/>
  <c r="G209" i="1"/>
  <c r="G211" i="1"/>
  <c r="G206" i="1"/>
  <c r="G199" i="1"/>
  <c r="F279" i="1"/>
  <c r="G279" i="1" s="1"/>
  <c r="F137" i="1"/>
  <c r="F138" i="1"/>
  <c r="J138" i="1"/>
  <c r="F123" i="1"/>
  <c r="H175" i="1" s="1"/>
  <c r="F281" i="1"/>
  <c r="G281" i="1" s="1"/>
  <c r="G291" i="1"/>
  <c r="J122" i="1"/>
  <c r="F135" i="1"/>
  <c r="J135" i="1"/>
  <c r="J125" i="1"/>
  <c r="F125" i="1"/>
  <c r="F122" i="1"/>
  <c r="F134" i="1"/>
  <c r="F136" i="1"/>
  <c r="F142" i="1"/>
  <c r="F124" i="1"/>
  <c r="F121" i="1"/>
  <c r="J123" i="1"/>
  <c r="J134" i="1"/>
  <c r="J137" i="1"/>
  <c r="J143" i="1" s="1"/>
  <c r="F129" i="1"/>
  <c r="G294" i="1"/>
  <c r="G295" i="1" s="1"/>
  <c r="F280" i="1"/>
  <c r="G280" i="1" s="1"/>
  <c r="G292" i="1"/>
  <c r="J136" i="1"/>
  <c r="J121" i="1"/>
  <c r="J124" i="1"/>
  <c r="F143" i="1" l="1"/>
  <c r="G143" i="1" s="1"/>
  <c r="G142" i="1"/>
  <c r="K124" i="1"/>
  <c r="F130" i="1"/>
  <c r="J130" i="1"/>
  <c r="K130" i="1" s="1"/>
  <c r="G134" i="1"/>
  <c r="K135" i="1"/>
  <c r="G136" i="1"/>
  <c r="K122" i="1"/>
  <c r="K143" i="1"/>
  <c r="G135" i="1"/>
  <c r="K138" i="1"/>
  <c r="K136" i="1"/>
  <c r="L142" i="1" s="1"/>
  <c r="K137" i="1"/>
  <c r="F141" i="1"/>
  <c r="H141" i="1" s="1"/>
  <c r="G138" i="1"/>
  <c r="H134" i="1"/>
  <c r="G137" i="1"/>
  <c r="F128" i="1"/>
  <c r="F139" i="1"/>
  <c r="H177" i="1"/>
  <c r="H178" i="1"/>
  <c r="H138" i="1"/>
  <c r="J126" i="1"/>
  <c r="H137" i="1"/>
  <c r="J139" i="1"/>
  <c r="K134" i="1"/>
  <c r="J141" i="1"/>
  <c r="K141" i="1" s="1"/>
  <c r="H174" i="1"/>
  <c r="F119" i="1"/>
  <c r="K121" i="1"/>
  <c r="K123" i="1"/>
  <c r="K125" i="1"/>
  <c r="H135" i="1"/>
  <c r="J128" i="1"/>
  <c r="K128" i="1" s="1"/>
  <c r="L124" i="1" l="1"/>
  <c r="L122" i="1"/>
  <c r="G141" i="1"/>
  <c r="L141" i="1"/>
  <c r="L143" i="1"/>
  <c r="G121" i="1"/>
  <c r="H122" i="1"/>
  <c r="L123" i="1"/>
  <c r="H124" i="1"/>
  <c r="G130" i="1"/>
  <c r="H121" i="1"/>
  <c r="H130" i="1"/>
  <c r="G124" i="1"/>
  <c r="G123" i="1"/>
  <c r="G129" i="1"/>
  <c r="H125" i="1"/>
  <c r="G125" i="1"/>
  <c r="G122" i="1"/>
  <c r="G128" i="1"/>
  <c r="H128" i="1"/>
  <c r="H143" i="1"/>
</calcChain>
</file>

<file path=xl/sharedStrings.xml><?xml version="1.0" encoding="utf-8"?>
<sst xmlns="http://schemas.openxmlformats.org/spreadsheetml/2006/main" count="1091" uniqueCount="505">
  <si>
    <t>Le Monde</t>
  </si>
  <si>
    <t>Média</t>
  </si>
  <si>
    <t>Titre</t>
  </si>
  <si>
    <t>URL</t>
  </si>
  <si>
    <t>Date</t>
  </si>
  <si>
    <r>
      <t xml:space="preserve">(si expert </t>
    </r>
    <r>
      <rPr>
        <i/>
        <sz val="9"/>
        <color theme="1"/>
        <rFont val="Calibri"/>
        <family val="2"/>
        <scheme val="minor"/>
      </rPr>
      <t>et</t>
    </r>
    <r>
      <rPr>
        <sz val="9"/>
        <color theme="1"/>
        <rFont val="Calibri"/>
        <family val="2"/>
        <scheme val="minor"/>
      </rPr>
      <t xml:space="preserve"> militant → militant)</t>
    </r>
  </si>
  <si>
    <t>Article</t>
  </si>
  <si>
    <t>Partages FB</t>
  </si>
  <si>
    <t>http://www.lemonde.fr/europe/article/2017/11/29/en-allemagne-le-glyphosate-sera-au-c-ur-des-pourparlers-pour-la-formation-du-gouvernement_5222203_3214.html</t>
  </si>
  <si>
    <t>neutre</t>
  </si>
  <si>
    <t>Monsanto racheté par les Allemands a pu influencer leur vote,</t>
  </si>
  <si>
    <t>plutôt contre</t>
  </si>
  <si>
    <t xml:space="preserve"> </t>
  </si>
  <si>
    <t xml:space="preserve"> Le renouvellement de l’autorisation du glyphosate divise le gouvernement allemand</t>
  </si>
  <si>
    <t>http://www.lemonde.fr/planete/article/2017/11/27/le-renouvellement-de-l-autorisation-du-glyphosate-divise-le-gouvernement-allemand_5221154_3244.html</t>
  </si>
  <si>
    <t>Allemagne : le glyphosate « sera au cœur des pourparlers pour la formation du gouvernement »</t>
  </si>
  <si>
    <t>http://www.lemonde.fr/planete/article/2017/11/27/ce-qu-il-faut-retenir-de-la-prolongation-de-la-licence-du-glyphosate-pour-cinq-ans_5221183_3244.html</t>
  </si>
  <si>
    <t xml:space="preserve"> Ce qu’il faut retenir de la prolongation de la licence du glyphosate pour cinq ans</t>
  </si>
  <si>
    <t>Générations futures, Foodwatch, Ligue contre le Cancer,</t>
  </si>
  <si>
    <t>Agences citées ?</t>
  </si>
  <si>
    <t>http://www.lemonde.fr/idees/article/2017/11/28/glyphosate-le-passage-en-force_5221457_3232.html</t>
  </si>
  <si>
    <t>Glyphosate : le passage en force</t>
  </si>
  <si>
    <t>CIRC, EFSA,</t>
  </si>
  <si>
    <t>Empoisonne les agriculteurs, Empoisonne l'environnement, Monsanto racheté par les Allemands a pu influencer leur vote, Démocratie non respectée, Une pétition de 1 million s'oppose, les citoyens opposés d'après les sondages, cancérogène probable, Monsanto Papers, Agences européennes incompétentes,</t>
  </si>
  <si>
    <t>contre</t>
  </si>
  <si>
    <t>Liste arguments pro</t>
  </si>
  <si>
    <t>Liste arguments contre</t>
  </si>
  <si>
    <t>Militants cités ?</t>
  </si>
  <si>
    <t>Experts cités ?</t>
  </si>
  <si>
    <t>NB arguments POUR</t>
  </si>
  <si>
    <t>NB arguments CONTRE</t>
  </si>
  <si>
    <t>NB agences citées</t>
  </si>
  <si>
    <t>NB Experts cités</t>
  </si>
  <si>
    <t>http://www.lemonde.fr/les-decodeurs/article/2017/11/28/marine-le-pen-et-le-glyphosate-la-longue-serie-des-contradictions-du-fn-sur-l-ecologie_5221602_4355770.html</t>
  </si>
  <si>
    <t>Marine Le Pen et le glyphosate : les contradictions du FN sur l’écologie</t>
  </si>
  <si>
    <t>cancérogène probable,</t>
  </si>
  <si>
    <t>CIRC,</t>
  </si>
  <si>
    <t>http://www.lemonde.fr/planete/article/2017/11/28/pour-la-fnsea-l-interdiction-du-glyphosate-reviendrait-a-poser-un-boulet-a-l-agriculture-francaise_5221632_3244.html</t>
  </si>
  <si>
    <t>Pour la FNSEA, l’interdiction du glyphosate reviendrait « à poser un boulet à l’agriculture française »</t>
  </si>
  <si>
    <t>pour</t>
  </si>
  <si>
    <t>Créer une concurrence déloyale,</t>
  </si>
  <si>
    <t>Une agence pour,</t>
  </si>
  <si>
    <t>CIRC, EFSA, ECHA, Anses,</t>
  </si>
  <si>
    <t>http://www.lemonde.fr/planete/article/2017/11/28/quelles-sont-les-alternatives-au-glyphosate_5221693_3244.html</t>
  </si>
  <si>
    <t>Quelles sont les alternatives au glyphosate ?</t>
  </si>
  <si>
    <t>Bertrand Omon,</t>
  </si>
  <si>
    <t>NOTES</t>
  </si>
  <si>
    <t>Orienté idéologiquement, mais reste plutôt neutre pour le glyphosate</t>
  </si>
  <si>
    <t>http://www.lemonde.fr/planete/article/2017/11/28/la-france-peut-elle-interdire-le-glyphosate-dans-trois-ans_5221736_3244.html</t>
  </si>
  <si>
    <t xml:space="preserve">La France peut-elle interdire le glyphosate dans trois ans ? </t>
  </si>
  <si>
    <t>CIRC,EFSA, ECHA,</t>
  </si>
  <si>
    <t xml:space="preserve">Créer une concurrence déloyale, Plusieurs agences pour, Il n'existe pas d'alternatives, mauvais pour l'économie, augmente le CO2, augmente le nombre de pesticides, </t>
  </si>
  <si>
    <t>Des alternatives sont en developpement, Osmobio prometteur, Alternatives existent, on a toujours fait sans gyphosate,</t>
  </si>
  <si>
    <t xml:space="preserve">Principe de précaution, cancérogène probable, CIRC, enjeux sanitaires, Empoisonne l'environnement, Des alernatives existent, la PAC pourrait aider à sortir du glyphosate, on a toujours fait sans glyphosate, </t>
  </si>
  <si>
    <t>http://www.lemonde.fr/planete/article/2017/11/29/glyphosate-angela-merkel-desavoue-le-vote-allemand_5221994_3244.html</t>
  </si>
  <si>
    <t>Glyphosate : Angela Merkel désavoue le vote allemand</t>
  </si>
  <si>
    <t xml:space="preserve">L'histoire retiendra, </t>
  </si>
  <si>
    <t>Payant</t>
  </si>
  <si>
    <t>Après son revirement sur le glyphosate, « l’Allemagne en pilotage automatique »</t>
  </si>
  <si>
    <t xml:space="preserve">lobby manipule, </t>
  </si>
  <si>
    <t>pas vraiment d'arguments anti-glyphosate, mais l'article part du principe que le renouvellement est forcément mauvais</t>
  </si>
  <si>
    <t>Après deux ans de négociations, l’UE doit statuer sur le glyphosate</t>
  </si>
  <si>
    <t xml:space="preserve">Enjeux sanitaires, Une pétition de 1 million s'oppose, </t>
  </si>
  <si>
    <t>Contre mais arguments "soft"</t>
  </si>
  <si>
    <t>http://www.lemonde.fr/planete/article/2017/11/27/dans-cinq-ans-se-reposera-la-question-d-un-renouvellement-de-la-licence-du-glyphosate_5221174_3244.html</t>
  </si>
  <si>
    <t>« La France pourrait interdire sur son territoire toutes les formulations à base de glyphosate »</t>
  </si>
  <si>
    <t>https://tempsreel.nouvelobs.com/planete/20171024.OBS6424/oui-les-agriculteurs-peuvent-se-passer-du-glyphosate-la-preuve.html</t>
  </si>
  <si>
    <t>Oui, les agriculteurs peuvent se passer du glyphosate. La preuve</t>
  </si>
  <si>
    <t>Nouvel Obs</t>
  </si>
  <si>
    <t>cancérogène probable, Alternatives existent, Empoisonne l'environnement, enjeux sanitaires,</t>
  </si>
  <si>
    <t>Titre complet</t>
  </si>
  <si>
    <t>Total →</t>
  </si>
  <si>
    <t>https://tempsreel.nouvelobs.com/planete/20171127.OBS7858/glyphosate-l-ue-autorise-pour-5-ans-macron-veut-l-interdire-dans-3-ans-en-france.html</t>
  </si>
  <si>
    <t>Glyphosate : l'UE autorise pour 5 ans, Macron veut l'interdire dans 3 ans en France</t>
  </si>
  <si>
    <t>http://www.lemonde.fr/international/article/2017/11/29/apres-son-revirement-surprise-sur-le-glyphosate-le-navire-allemagne-en-pilotage-automatique_5222170_3210.html?xtmc=glyphosate&amp;xtcr=4</t>
  </si>
  <si>
    <t>Etude de l'AHS,</t>
  </si>
  <si>
    <t>Nathalie Colbach,</t>
  </si>
  <si>
    <t>Marie-Monique Robin, Générations Futres,</t>
  </si>
  <si>
    <t>Enjeux sanitaires, cancérogène probable, principe de précaution, enjeux sanitaires, Une pétition de 1 million s'oppose,</t>
  </si>
  <si>
    <t>https://tempsreel.nouvelobs.com/politique/20171127.OBS7890/glyphosate-travert-se-rejouit-de-l-accord-europeen-malgre-le-revers-francais.html</t>
  </si>
  <si>
    <t>Glyphosate : Travert se réjouit de l'accord européen... malgré le revers français</t>
  </si>
  <si>
    <t xml:space="preserve">Enjeux sanitaires, Empoisonne l'environnement, </t>
  </si>
  <si>
    <t>Encore un article complètement contre le glyphosate, mais les arguments anti sont peu nombreux</t>
  </si>
  <si>
    <t>Très anti-glyphosate mais argumentation "mesurée" pour le genre</t>
  </si>
  <si>
    <t>Caricature</t>
  </si>
  <si>
    <t>Comment le glyphosate provoque une crise politique pour Angela Merkel</t>
  </si>
  <si>
    <t>https://tempsreel.nouvelobs.com/planete/20171128.OBS7901/comment-le-glyphosate-provoque-une-crise-politique-pour-angela-merkel.html</t>
  </si>
  <si>
    <t>Concentré sur la situation politique allemande</t>
  </si>
  <si>
    <t>https://tempsreel.nouvelobs.com/rue89/notre-epoque/20171128.OBS7908/glyphosate-et-maintenant-l-etude-qui-tombe-a-pic-pour-monsanto.html</t>
  </si>
  <si>
    <t>CIRC, EFSA, ECHA, OMS, FAO,</t>
  </si>
  <si>
    <t>cancérogène probable, Agences européennes incompétentes, Monsanto Papers,</t>
  </si>
  <si>
    <t>Etre pour le glyphosate = ecolo-scepticisme. Sérieusement ?</t>
  </si>
  <si>
    <t>https://tempsreel.nouvelobs.com/planete/20171129.OBS7997/glyphosate-comment-l-agence-sanitaire-europeenne-a-copie-colle-monsanto.html</t>
  </si>
  <si>
    <t xml:space="preserve">Efsa corrompue, Cancérogène probable, </t>
  </si>
  <si>
    <t>Glyphosate : comment l'agence sanitaire européenne a copié-collé Monsanto</t>
  </si>
  <si>
    <t>https://tempsreel.nouvelobs.com/politique/20171129.OBS7995/glyphosate-france-ou-allemagne-il-y-a-un-probleme-avec-les-ministres-de-l-agriculture.html</t>
  </si>
  <si>
    <t>Glyphosate : France ou Allemagne, il y a un problème avec les ministres de l'Agriculture</t>
  </si>
  <si>
    <t>lobby manipule,  Cancérogène probable,</t>
  </si>
  <si>
    <t>Le gylhposate est carrément "Cancérogène" (sans le "probable")</t>
  </si>
  <si>
    <t>https://www.marianne.net/societe/glyphosate-la-commission-europeenne-rouvre-les-vannes-pour-5-ans</t>
  </si>
  <si>
    <t>Glyphosate : la Commission européenne rouvre les vannes pour 5 ans</t>
  </si>
  <si>
    <t xml:space="preserve">lobby manipule,  Cancérogène probable,enjeux sanitaires, Une pétition de 1 million s'oppose, EFSA corrompue, </t>
  </si>
  <si>
    <t>Marianne</t>
  </si>
  <si>
    <t>https://www.marianne.net/monde/glyphosate-la-bourde-qui-va-couter-cher-merkel</t>
  </si>
  <si>
    <t>Glyphosate, la "bourde" qui va coûter cher à Merkel</t>
  </si>
  <si>
    <t>Article contre mais sans arguments car orienté sur la politique allemande</t>
  </si>
  <si>
    <t>https://www.marianne.net/politique/trois-lecons-que-devrait-retenir-macron-apres-la-claque-du-glyphosate</t>
  </si>
  <si>
    <t>Trois leçons que devrait retenir Macron après la claque du glyphosate</t>
  </si>
  <si>
    <t>lobby manipule, Monsanto racheté par les Allemands a pu influencer leur vote,</t>
  </si>
  <si>
    <t>cancérogène probable, lobby manipule,  Agences européennes incompétentes, la date de publication de l'étude du AHS est louche, EFSA corrompue,</t>
  </si>
  <si>
    <t>EELV,</t>
  </si>
  <si>
    <t>Friends of the Earth Europe,</t>
  </si>
  <si>
    <t>http://www.liberation.fr/direct/element/le-glyphosate-autorise-pour-cinq-ans-de-plus-dans-lunion-europeenne_74123/</t>
  </si>
  <si>
    <t>Le glyphosate autorisé pour cinq ans de plus dans l'Union européenne</t>
  </si>
  <si>
    <t>Libération</t>
  </si>
  <si>
    <t>% d'arguments anti ?</t>
  </si>
  <si>
    <t>http://www.liberation.fr/planete/2017/11/27/comment-monsanto-a-finance-des-scientifiques-en-europe-pour-defendre-le-glyphosate_1612822</t>
  </si>
  <si>
    <t>Comment Monsanto a financé des scientifiques en Europe pour défendre le glyphosate</t>
  </si>
  <si>
    <t>Greenpeace,</t>
  </si>
  <si>
    <t>← Moyenne Médiane →</t>
  </si>
  <si>
    <t>Développe une argumentation sérieuse contre Monsanto, mais sous-entend que tout le consensus scientifique en faveur du glyphosate est corrompu !</t>
  </si>
  <si>
    <t>http://www.liberation.fr/planete/2017/11/27/glyphosate-macron-veut-une-interdiction-en-france-au-plus-tard-dans-trois-ans_1612872</t>
  </si>
  <si>
    <t>Glyphosate : Macron veut une interdiction en France «au plus tard dans trois ans»</t>
  </si>
  <si>
    <t>Lobby manipule, cancérogène probable, Monsanto Papers</t>
  </si>
  <si>
    <t xml:space="preserve">cancérogène probable, Enjeux sanitaires, empoisonne l'environnement, lobby manipule,  Monsanto Papers, Principe de précaution, </t>
  </si>
  <si>
    <t>Il n'existe pas d'alternatives, préservation des sols,</t>
  </si>
  <si>
    <t>Créer une concurrence déloyale, mauvais pour l'économie, préservation des sols, augmente le CO2, augmente le nombre de pesticides, baisse des rendements, hectares inexploitables, Il n'existe pas d'alternatives, délais trop court, plusieurs agences pour, augmentation quantité pesticides,</t>
  </si>
  <si>
    <t xml:space="preserve">Les anti sont idéologiques, Il n'existe pas d'alternatives, </t>
  </si>
  <si>
    <t>http://www.liberation.fr/planete/2017/11/27/comment-monsanto-s-est-mis-des-scientifiques-dans-la-poche_1612932</t>
  </si>
  <si>
    <t>Comment Monsanto s’est mis des scientifiques dans la poche</t>
  </si>
  <si>
    <t>http://www.liberation.fr/planete/2017/11/27/glyphosate-l-ue-en-remet-pour-cinq-ans_1612936</t>
  </si>
  <si>
    <t>Glyphosate : l’UE en remet pour cinq ans</t>
  </si>
  <si>
    <t>Article doublon avec un titre différent</t>
  </si>
  <si>
    <t>AHS,</t>
  </si>
  <si>
    <t>Article contre mais qui se concentre sur la politique Allemande ce qui le rend assez factuel.  Il nuance également un tout petit peu à la fin. (même si la nuance est nuancée afin de rester anti-glyphosate !)</t>
  </si>
  <si>
    <t>enjeux sanitaires, lobby manipule, cancérogène probable,</t>
  </si>
  <si>
    <t>http://www.liberation.fr/planete/2017/11/28/l-instabilite-politique-allemande-meilleure-amie-des-lobbys_1613190</t>
  </si>
  <si>
    <t>L’instabilité politique allemande, meilleure amie des lobbys</t>
  </si>
  <si>
    <t>http://www.liberation.fr/planete/2017/11/28/glyphosate-la-france-se-fait-couper-l-herbe-sous-le-pied-l-elysee-se-rebiffe_1613192</t>
  </si>
  <si>
    <t>Glyphosate : la France se fait couper l’herbe sous le pied, l’Elysée se rebiffe</t>
  </si>
  <si>
    <t>UICN,</t>
  </si>
  <si>
    <t xml:space="preserve">cancérogène probable, Des alernatives existent, principe de précaution, </t>
  </si>
  <si>
    <t>Part du principe que le glyphosate est très nocif, mais se concentre surtout sur la partie politique allemande</t>
  </si>
  <si>
    <t>Particulièrement contre le glyphosate mais les arguments directs sont assez rares en fin de compte</t>
  </si>
  <si>
    <t>BFMTV</t>
  </si>
  <si>
    <t>http://www.bfmtv.com/sante/l-autorisation-du-glyphosate-renouvelee-pour-5-ans-dans-l-ue-1313832.html</t>
  </si>
  <si>
    <t>L'autorisation du glyphosate renouvelée pour 5 ans dans l'UE</t>
  </si>
  <si>
    <t xml:space="preserve"> Plusieurs agences pour,</t>
  </si>
  <si>
    <t>Article en apparence assez équilibré, mais false balance.</t>
  </si>
  <si>
    <t>http://www.bfmtv.com/mediaplayer/video/renouvellement-du-glyphosate-yannick-jadot-parle-d-un-black-monday-pour-la-sante-1007379.html</t>
  </si>
  <si>
    <t>Renouvellement du glyphosate: Yannick Jadot parle d'un "Black Monday pour la santé"</t>
  </si>
  <si>
    <t>Philippe Mauguin,</t>
  </si>
  <si>
    <t>Enjeux sanitaires, lobby manipule, cancérogène probable, les citoyens opposés d'après les sondages,</t>
  </si>
  <si>
    <t>Très faible audience Facebook mais reportage TV !</t>
  </si>
  <si>
    <t>http://www.bfmtv.com/politique/la-france-reste-determinee-a-sortir-du-glyphosate-en-moins-de-5-ans-d-apres-la-secretaire-d-etat-1313908.html</t>
  </si>
  <si>
    <t>Glyphosate: Macron choisit Hulot</t>
  </si>
  <si>
    <t xml:space="preserve">Vidéo extrêmement anti-glyphosate en introduction non comptée </t>
  </si>
  <si>
    <t>Empoisonne l'environnement, enjeux sanitaires,</t>
  </si>
  <si>
    <t>http://www.bfmtv.com/sante/glyphosate-autorise-cinq-ans-de-plus-des-ong-scandalisees-1313867.html</t>
  </si>
  <si>
    <t>Glyphosate autorisé cinq ans de plus: des ONG "scandalisées"</t>
  </si>
  <si>
    <t>Générations futures, Foodwatch, Ligue contre le Cancer, Friends of the Earth Europe,</t>
  </si>
  <si>
    <t>http://rmc.bfmtv.com/emission/autorisation-du-glyphosate-il-n-y-a-pas-de-solution-miracle-1314110.html</t>
  </si>
  <si>
    <t>Autorisation du glyphosate: "Il n'y a pas de solution miracle"</t>
  </si>
  <si>
    <t>Inra</t>
  </si>
  <si>
    <t>mauvais pour l'économie, Il n'existe pas d'alternatives, Créer une concurrence déloyale,</t>
  </si>
  <si>
    <t>http://www.bfmtv.com/international/le-vote-sur-le-glyphosate-plonge-l-allemagne-dans-une-nouvelle-crise-politique-1314554.html</t>
  </si>
  <si>
    <t>Le vote sur le glyphosate plonge l'Allemagne dans une nouvelle crise politique</t>
  </si>
  <si>
    <t>ne parle pas de la polémique mais seulement de politique allemande</t>
  </si>
  <si>
    <t>cancérogène probable, une pétition de 1 million s'oppose,</t>
  </si>
  <si>
    <t>Ouest-France</t>
  </si>
  <si>
    <t>https://www.ouest-france.fr/environnement/glyphosate/glyphosate-l-herbicide-autorise-pour-cinq-ans-de-plus-en-europe-5407758</t>
  </si>
  <si>
    <t>Glyphosate. L’herbicide autorisé pour cinq ans de plus dans l’Union européenne</t>
  </si>
  <si>
    <t xml:space="preserve">cancérogène probable, </t>
  </si>
  <si>
    <t>PS,</t>
  </si>
  <si>
    <t>False balance classique mais léger</t>
  </si>
  <si>
    <t>L'UE renouvelle le glyphosate pour 5 ans, colère des ONG</t>
  </si>
  <si>
    <t>https://www.ouest-france.fr/economie/le-glyphosate-autorise-pour-cinq-ans-de-plus-dans-l-ue-5407776</t>
  </si>
  <si>
    <t xml:space="preserve">cancérogène probable, une pétition de 1 million s'oppose, enjeux sanitaires, empoisonne l'environnement, </t>
  </si>
  <si>
    <t>https://www.ouest-france.fr/environnement/glyphosate/glyphosate-la-fnsea-sourit-les-ecologistes-s-insurgent-5407823</t>
  </si>
  <si>
    <t>Glyphosate. La FNSEA sourit, les écologistes s’insurgent</t>
  </si>
  <si>
    <t>https://www.ouest-france.fr/environnement/glyphosate/glyphosate-la-france-veut-une-interdiction-au-plus-tard-dans-3-ans-5407941</t>
  </si>
  <si>
    <t>Glyphosate. La France veut une interdiction « au plus tard dans 3 ans »</t>
  </si>
  <si>
    <t>Relaie sobrement la com du gouvernement</t>
  </si>
  <si>
    <t>https://www.ouest-france.fr/environnement/glyphosate/glyphosate-une-autorisation-qui-ne-resout-rien-5408098</t>
  </si>
  <si>
    <t>Glyphosate : une autorisation qui ne résout rien</t>
  </si>
  <si>
    <t>mauvais pour l'économie,  Plusieurs agences pour,</t>
  </si>
  <si>
    <t>petit article très rapide</t>
  </si>
  <si>
    <t>https://www.ouest-france.fr/environnement/glyphosate/commentaire-glyphosate-avantage-monsanto-5408931</t>
  </si>
  <si>
    <t>COMMENTAIRE. Glyphosate : avantage Monsanto</t>
  </si>
  <si>
    <t>enjeux sanitaires, principe de précaution,</t>
  </si>
  <si>
    <t xml:space="preserve">une pétition de 1 million s'oppose, des alternatives existent, Agences européennes incompétentes, Monsanto Papers, </t>
  </si>
  <si>
    <t>https://www.ouest-france.fr/environnement/glyphosate/glyphosate-la-france-perdu-au-niveau-europeen-deplore-jadot-5408977</t>
  </si>
  <si>
    <t>Glyphosate. « La France a perdu au niveau européen », déplore Jadot</t>
  </si>
  <si>
    <t>Empoisonne les agriculteurs, empoisonne l'environnement, enjeux sanitaires, principe de précaution</t>
  </si>
  <si>
    <t>https://www.ouest-france.fr/environnement/glyphosate/glyphosate-les-fabricants-d-herbicides-decus-par-la-decision-europeenne-5409010</t>
  </si>
  <si>
    <t>Glyphosate. Les fabricants d’herbicides "déçus" par la décision européenne</t>
  </si>
  <si>
    <t>Les anti sont idéologiques, influencés par l'opinion publique, Créer une concurrence déloyale, mauvais pour l'économie,</t>
  </si>
  <si>
    <t>plutôt pour</t>
  </si>
  <si>
    <t>Surréaliste, ne donne que le point de vue du lobby pro-glyphosate ?!</t>
  </si>
  <si>
    <t>https://www.ouest-france.fr/economie/glyphosate-la-fnsea-denonce-le-nationalisme-du-president-macron-5409174</t>
  </si>
  <si>
    <t>Glyphosate: la FNSEA dénonce le "nationalisme" du président Macron</t>
  </si>
  <si>
    <t xml:space="preserve">Créer une concurrence déloyale, </t>
  </si>
  <si>
    <t>Orienté colère des agriculteur,</t>
  </si>
  <si>
    <t>Le Parisien</t>
  </si>
  <si>
    <t>http://www.leparisien.fr/societe/le-glyphosate-autorise-pour-cinq-ans-de-plus-dans-l-union-europeenne-27-11-2017-7418415.php</t>
  </si>
  <si>
    <t>Le glyphosate autorisé pour cinq ans de plus dans l’Union européenne</t>
  </si>
  <si>
    <t>Générations futures, Foodwatch, Ligue contre le Cancer, José Bové,</t>
  </si>
  <si>
    <t>http://www.leparisien.fr/politique/sur-le-glyphosate-le-gouvernement-a-du-mal-a-accorder-ses-violons-27-11-2017-7419108.php</t>
  </si>
  <si>
    <t>Sur le glyphosate, le gouvernement a du mal à accorder ses violons</t>
  </si>
  <si>
    <t>ne prend pas position, n'argumente pas</t>
  </si>
  <si>
    <t>http://www.leparisien.fr/societe/glyphosate-des-agriculteurs-contestent-l-interdiction-en-france-dans-trois-ans-28-11-2017-7419855.php</t>
  </si>
  <si>
    <t>Glyphosate : des agriculteurs contestent son interdiction en France dans trois ans</t>
  </si>
  <si>
    <t xml:space="preserve">Les anti sont idéologiques, influencés par l'opinion publique, </t>
  </si>
  <si>
    <t>Donne le point de vue de Monsanto…</t>
  </si>
  <si>
    <t>http://www.leparisien.fr/international/allemagne-le-glyphosate-refroidit-les-relations-entre-merkel-et-les-sociaux-democrates-28-11-2017-7421349.php</t>
  </si>
  <si>
    <t>Allemagne : le glyphosate refroidit les relations entre Merkel et les sociaux-démocrates</t>
  </si>
  <si>
    <t>Parle de politique allemande seulement</t>
  </si>
  <si>
    <t>Le Figaro</t>
  </si>
  <si>
    <t>L'Union européenne autorise la prolongation du glyphosate pour 5 ans</t>
  </si>
  <si>
    <t>Article extrêmement court qui ne m'a pris que 10 secondes à lire &lt;3 &lt;3 MERCI ! #fatigue</t>
  </si>
  <si>
    <t>http://www.lefigaro.fr/flash-actu/2017/11/27/97001-20171127FILWWW00242-macron-veut-interdire-le-glyphosate-au-plus-tard-dans-3-ans.php</t>
  </si>
  <si>
    <t>http://www.lefigaro.fr/flash-actu/2017/11/27/97001-20171127FILWWW00167-la-commission-europeenne-autorise-la-prolongation-du-glyphosate-pour-5-ans.php</t>
  </si>
  <si>
    <t>Macron veut interdire le glyphosate «au plus tard dans 3 ans»</t>
  </si>
  <si>
    <t>Encore un article de 5 phraes</t>
  </si>
  <si>
    <t>http://www.lefigaro.fr/sciences/2017/11/27/01008-20171127ARTFIG00009-glyphosate-ultime-vote-des-etats-a-bruxelles.php</t>
  </si>
  <si>
    <t>Le glyphosate autorisé pour cinq années supplémentaires dans l'Union européenne</t>
  </si>
  <si>
    <t xml:space="preserve">AHS, </t>
  </si>
  <si>
    <t>Principe de précuation, empoisonne l'environnement, enjeux sanitaires,</t>
  </si>
  <si>
    <t>http://www.lefigaro.fr/flash-actu/2017/11/27/97001-20171127FILWWW00270-glyphosate-la-france-a-fait-bande-a-part-fnsea.php</t>
  </si>
  <si>
    <t>Glyphosate: la France a fait «bande à part» (FNSEA)</t>
  </si>
  <si>
    <t>Empoisonne les agriculteurs, lobby manipule,</t>
  </si>
  <si>
    <t>http://www.lefigaro.fr/actualite-france/2017/11/27/01016-20171127ARTFIG00285-glyphosate-macron-maintient-l-interdiction-en-france-au-plus-tard-dans-trois-ans.php</t>
  </si>
  <si>
    <t>Glyphosate: Macron maintient l'interdiction en France «au plus tard dans trois ans»</t>
  </si>
  <si>
    <t>Les anti sont idéologiques,</t>
  </si>
  <si>
    <t>empoisonne les agriculteur, Monsanto Papers, Lobby Manipule, Principe de précaution,</t>
  </si>
  <si>
    <t>http://www.lefigaro.fr/international/2017/11/27/01003-20171127ARTFIG00297-le-glyphosate-seme-la-discorde-au-sein-du-gouvernement-allemand.php</t>
  </si>
  <si>
    <t>Le glyphosate sème la discorde au sein du gouvernement allemand</t>
  </si>
  <si>
    <t>L'argumentation anti-glyphosate ne fait que de la figuration dans cet article, seul le point de vue de la FNSEA est donné</t>
  </si>
  <si>
    <t>Ne parle que de politique allemande</t>
  </si>
  <si>
    <t>http://www.lefigaro.fr/conjoncture/2017/11/27/20002-20171127ARTFIG00299-la-france-peut-elle-seule-interdire-l-utilisation-du-glyphosate.php</t>
  </si>
  <si>
    <t>La France peut-elle seule interdire l'utilisation du glyphosate ?</t>
  </si>
  <si>
    <t xml:space="preserve"> les citoyens opposés d'après les sondages, alternatives existent, enjeux sanitaires, principe de précuation, lobby manipule, Monsanto Papers,</t>
  </si>
  <si>
    <t>http://www.lefigaro.fr/flash-eco/2017/11/28/97002-20171128FILWWW00055-glyphosate-monsanto-decu-par-la-decision-de-bruxelles.php</t>
  </si>
  <si>
    <t>Glyphosate : Monsanto "déçu" par la décision de Bruxelles</t>
  </si>
  <si>
    <t>Glyphosate: Merkel tance son ministre de l'Agriculture</t>
  </si>
  <si>
    <t>http://www.lefigaro.fr/flash-eco/2017/11/28/97002-20171128FILWWW00177-glyphosate-la-fnsea-denonce-le-nationalisme-de-macron.php</t>
  </si>
  <si>
    <t>http://www.lefigaro.fr/flash-actu/2017/11/28/97001-20171128FILWWW00204-glyphosate-merkel-tance-son-ministre-de-l-agriculture.php</t>
  </si>
  <si>
    <t>Limite entre "neutre" et "plutôt contre", l'article fait tout de même écho aux arguments anti sans nuance</t>
  </si>
  <si>
    <t>http://www.lefigaro.fr/sciences/2017/11/28/01008-20171128ARTFIG00285-glyphosate-on-melange-science-et-politique.php</t>
  </si>
  <si>
    <t>Glyphosate : «On mélange science et politique»</t>
  </si>
  <si>
    <t>EFSA,</t>
  </si>
  <si>
    <t>Efsa sérieuse, plusieurs agences pour,</t>
  </si>
  <si>
    <t>Article payant, mais les deux paragraphes d'introductions suffisent à annoncer la couleur !</t>
  </si>
  <si>
    <t>http://www.lefigaro.fr/flash-actu/2017/11/29/97001-20171129FILWWW00165-glyphosate-coquerel-lfi-accuse-philippe-de-ne-pas-etre-d-accord-avec-macron.php</t>
  </si>
  <si>
    <t>Glyphosate: Coquerel (LFI) accuse Philippe de ne pas être d'accord avec Macron</t>
  </si>
  <si>
    <t>Donne une point de vue anti-glyphosate, mais sans argument. C'est surtout une critique politique.</t>
  </si>
  <si>
    <t>Huffington Post</t>
  </si>
  <si>
    <t>http://www.huffingtonpost.fr/2017/11/27/le-glyphosate-autorise-pour-cinq-ans-de-plus-dans-lue_a_23289106/</t>
  </si>
  <si>
    <t>Le glyphosate autorisé pour cinq ans de plus dans l'UE, malgré l'opposition de la France</t>
  </si>
  <si>
    <t>empoisonne les agriculteurs, principe de précaution, Monsanto papers, une pétition de 1 million s'oppose, Démocratie non respectée, Efsa corrompue,</t>
  </si>
  <si>
    <t>empoisonne les agriculteurs, cancérogène probable, principe de précaution, enjeux sanitaires, une pétition de 1 million s'oppose, Monsanto papers, Efsa corrompue, empoisonne l'environnement, efsa corrompue,</t>
  </si>
  <si>
    <t>Empoisonne l'environnement, enjeux sanitaires, principe de précaution, Une pétition de 1 million s'oppose, empoisonne les agriculteurs, Monsanto Papers, Efsa corrompu, lobby manipule, Cancérogène probable,</t>
  </si>
  <si>
    <t>http://www.huffingtonpost.fr/2017/11/27/contre-lue-macron-sengage-a-interdire-le-glyphosate-en-france-au-plus-tard-dans-trois-ans_a_23289368/</t>
  </si>
  <si>
    <t>Contre l'UE, Macron s'engage à interdire le glyphosate en France "au plus tard dans trois ans"</t>
  </si>
  <si>
    <t>http://www.huffingtonpost.fr/2017/11/27/le-roundup-vrp-du-glyphosate-a-la-tele-depuis-les-annees-80_a_23289375/</t>
  </si>
  <si>
    <t>Le Roundup, VRP du glyphosate à la télé depuis les années 80</t>
  </si>
  <si>
    <t>Parle surtout de l'aspect marketing, n'argumente pas vraiment contre le glyphosate sur le fond, mais véhicule clairement l'idée que c'est nocif.</t>
  </si>
  <si>
    <t>Enjeux sanitaires,</t>
  </si>
  <si>
    <t>http://www.huffingtonpost.fr/2017/11/27/glyphosate-et-si-le-revirement-de-lallemagne-etait-lie-a-cette-etude-polemique_a_23289314/</t>
  </si>
  <si>
    <t>Glyphosate: Et si le revirement de l'Allemagne était lié à cette étude polémique?</t>
  </si>
  <si>
    <t>Article très détaillé qui parle du débat de fond (enfin !) mais avec un parti pris évident et des arguments trompeur (tout est fait pour discréditer l'AHS, l'étude NAPP est sortie de son contexte pour accuser le glyphosate...)</t>
  </si>
  <si>
    <t>http://www.huffingtonpost.fr/2017/11/27/le-vote-europeen-sur-le-glyphosate-exacerbe-les-tensions-au-sein-du-gouvernement-allemand_a_23289533/</t>
  </si>
  <si>
    <t>Le vote européen sur le glyphosate exacerbe les tensions au sein du gouvernement allemand</t>
  </si>
  <si>
    <t>cancérogène probable, NAPP (déformé), Lobby manipule, Monsanto Papers, AHS non fiable,</t>
  </si>
  <si>
    <t>Empoisonne l'environnement, enjeux sanitaires, cancérogène probable,</t>
  </si>
  <si>
    <t>L'Express</t>
  </si>
  <si>
    <t>https://lexpansion.lexpress.fr/actualites/1/actualite-economique/le-glyphosate-autorise-pour-cinq-ans-de-plus-dans-l-ue_1964183.html</t>
  </si>
  <si>
    <t>CIRC, EFSA, ECHA,</t>
  </si>
  <si>
    <t>EFSA,ECHA,</t>
  </si>
  <si>
    <t>Plusieurs agences pour, mauvais pour l'économie,</t>
  </si>
  <si>
    <t>https://www.lexpress.fr/actualites/1/actualite/glyphosate-la-france-regrette-et-demande-a-l-ue-de-nouvelles-methodes-d-evaluation_1964245.html</t>
  </si>
  <si>
    <t>Glyphosate: la France "regrette" et demande à l'UE de nouvelles méthodes d'évaluation</t>
  </si>
  <si>
    <t>https://www.lexpress.fr/actualite/societe/environnement/la-commission-europeenne-autorise-le-glyphosate-pour-cinq-ans-de-plus_1964168.html</t>
  </si>
  <si>
    <t>Macron ne veut plus de glyphosate "au plus tard dans 3 ans", malgré le vote européen</t>
  </si>
  <si>
    <t>mauvais pour l'économie,</t>
  </si>
  <si>
    <t>cancérogène probable, empoisonne l'environnement, enjeux sanitaires, une pétition de 1 million s'oppose,</t>
  </si>
  <si>
    <t>Glyphosate: "la France a perdu au niveau européen", déplore Jadot</t>
  </si>
  <si>
    <t>https://www.lexpress.fr/actualites/1/politique/glyphosate-la-france-a-perdu-au-niveau-europeen-deplore-jadot_1964338.html</t>
  </si>
  <si>
    <t>Enjeux sanitaires, principe de précaution,</t>
  </si>
  <si>
    <t>https://lexpansion.lexpress.fr/actualites/1/actualite-economique/glyphosate-la-fnsea-denonce-le-nationalisme-du-president-macron_1964493.html</t>
  </si>
  <si>
    <t>Caprice de Hulot, Créer une concurrence déloyale,</t>
  </si>
  <si>
    <t>https://www.lexpress.fr/actualite/monde/europe/le-revirement-allemand-sur-le-glyphosate-plonge-le-pays-dans-une-crise-politique_1964511.html</t>
  </si>
  <si>
    <t>Le revirement allemand sur le glyphosate plonge le pays dans une crise politique</t>
  </si>
  <si>
    <t>https://www.lexpress.fr/actualites/1/societe/glyphosate-de-la-difficulte-de-concilier-ecologie-et-economie_1964538.html</t>
  </si>
  <si>
    <t>Glyphosate: de la difficulté de concilier écologie et économie</t>
  </si>
  <si>
    <t>mauvais pour l'économie, il n'existe pas d'alternative,</t>
  </si>
  <si>
    <t>Des alternatives existent</t>
  </si>
  <si>
    <t>https://www.lexpress.fr/actualites/1/politique/glyphosate-coquerel-lfi-accuse-philippe-de-ne-pas-etre-sur-la-meme-ligne-que-macron_1964783.html</t>
  </si>
  <si>
    <t>Glyphosate: Coquerel (LFI) accuse Philippe de ne pas être sur la même ligne que Macron</t>
  </si>
  <si>
    <t>Juste des histoires de politique…</t>
  </si>
  <si>
    <t>Le glyphosate autorisé pour cinq ans de plus en Europe</t>
  </si>
  <si>
    <t>https://www.lesechos.fr/industrie-services/energie-environnement/030939292612-le-glyphosate-autorise-pour-cinq-ans-de-plus-en-europe-2133595.php</t>
  </si>
  <si>
    <t>Les Echos</t>
  </si>
  <si>
    <t>N'aborde pas vraiment de points positifs, mais évite de mentionner les négatifs</t>
  </si>
  <si>
    <t>https://www.lesechos.fr/industrie-services/energie-environnement/030940428079-la-france-veut-se-passer-du-glyphosate-malgre-le-feu-vert-europeen-2133638.php</t>
  </si>
  <si>
    <t>La France veut se passer du glyphosate malgré le feu vert européen</t>
  </si>
  <si>
    <t>intense controverse scientifique,</t>
  </si>
  <si>
    <t>https://www.lesechos.fr/monde/europe/030941833939-la-question-du-glyphosate-provoque-un-clash-politique-a-berlin-2133644.php</t>
  </si>
  <si>
    <t>La question du glyphosate provoque un clash politique à Berlin</t>
  </si>
  <si>
    <t>Enième article qui ne parle que de politiqueallemande</t>
  </si>
  <si>
    <t>https://www.lesechos.fr/idees-debats/cercle/030943903500-glyphosate-sortir-de-lideologie-2133853.php</t>
  </si>
  <si>
    <t>Glyphosate : sortir de l'idéologie</t>
  </si>
  <si>
    <t>Il n'existe pas d'alternatives, créer une concurrence déloyale, baisse des rendements,</t>
  </si>
  <si>
    <t xml:space="preserve">Les agriculteurs utilisent très peu de glyphosate, Les anti sont idéologiques, augmente le CO2, risque/danger, AHS, pas de résidus ou presque, </t>
  </si>
  <si>
    <t>Article extrêmement pour</t>
  </si>
  <si>
    <t>Glyphosate : Bruxelles ou l'art de ne pas décider</t>
  </si>
  <si>
    <t>https://www.lesechos.fr/idees-debats/editos-analyses/030933677800-glyphosate-bruxelles-ou-lart-de-ne-pas-decider-2133884.php</t>
  </si>
  <si>
    <t>EFSA, ECHA,</t>
  </si>
  <si>
    <t>Caractère cancérogène non avéré, ONG accusent à tort,</t>
  </si>
  <si>
    <t>Monsanto Papers, Principe de précaution,</t>
  </si>
  <si>
    <t>ENFIN ! L'article évoquue le principe de précaution tout en défendant la non-validité des arguments anti (?) mais la prise de position est très favorable</t>
  </si>
  <si>
    <t>https://www.lesechos.fr/monde/europe/030946867173-glyphosate-les-dessous-de-la-volte-face-de-lallemagne-2133968.php</t>
  </si>
  <si>
    <t xml:space="preserve">Glyphosate : les dessous de la volte-face de l'Allemagne 
</t>
  </si>
  <si>
    <t>Il n'existe pas d'alternative, Mauvais pour l'environnement, Créer une concurrence déloyale,</t>
  </si>
  <si>
    <t>Uniquement le point de vue des agriculteurs</t>
  </si>
  <si>
    <t>Politique encore..</t>
  </si>
  <si>
    <t>https://www.lesechos.fr/industrie-services/conso-distribution/030945600641-interdiction-du-glyphosate-le-monde-agricole-denonce-le-dedit-de-macron-2133985.php</t>
  </si>
  <si>
    <t>La France peut-elle se passer de glyphosate d'ici à trois ans ?</t>
  </si>
  <si>
    <t>https://www.lesechos.fr/industrie-services/energie-environnement/030945795640-la-france-peut-elle-se-passer-de-glyphosate-dici-a-trois-ans-2134264.php</t>
  </si>
  <si>
    <t>Interdiction du glyphosate : le monde agricole dénonce « le dédit » de Macron</t>
  </si>
  <si>
    <t>Mauvais pour l'économie, Créer une concurrence déloyale,</t>
  </si>
  <si>
    <t xml:space="preserve">Principe de précaution, cancérogène probable, plusieurs études, Une pétition de 1 million s'oppose, </t>
  </si>
  <si>
    <t>TOTAL POUR</t>
  </si>
  <si>
    <t>TOTAL CONTRE</t>
  </si>
  <si>
    <t>TOTAL PLUTÔT POUR</t>
  </si>
  <si>
    <t>TOTAL PLUTÔT CONTRE</t>
  </si>
  <si>
    <t>TOTAL</t>
  </si>
  <si>
    <t>TOTAL NEUTRE</t>
  </si>
  <si>
    <t xml:space="preserve">TOTAL PLUTÔT POUR + POUR </t>
  </si>
  <si>
    <t>TOTAL PLUTÔT CONTRE + CONTRE</t>
  </si>
  <si>
    <t>ARTICLES</t>
  </si>
  <si>
    <t>% TOTAL</t>
  </si>
  <si>
    <t>TITRES</t>
  </si>
  <si>
    <t>% TITRES PRENANT POSITION (neutres exclus)</t>
  </si>
  <si>
    <t>% ARTICLES PRENANT POSITION (neutres exclus)</t>
  </si>
  <si>
    <t>ARGUMENTS</t>
  </si>
  <si>
    <t>MEDIANE ARGUMENTS ANTI</t>
  </si>
  <si>
    <t>MOYENNE D'ARGUMENTS ANTI</t>
  </si>
  <si>
    <t>JOURNAUX DE GAUCHE</t>
  </si>
  <si>
    <t>JOURNAUX DE DROITE</t>
  </si>
  <si>
    <t>(nota : Ouest-France n'est pas compté car positionnement politique flou)</t>
  </si>
  <si>
    <t>AUDIENCE FACEBOOK</t>
  </si>
  <si>
    <r>
      <t xml:space="preserve">Audience Facebook si arguments </t>
    </r>
    <r>
      <rPr>
        <b/>
        <u/>
        <sz val="12"/>
        <color theme="1"/>
        <rFont val="Calibri bold"/>
      </rPr>
      <t>&gt;50%</t>
    </r>
    <r>
      <rPr>
        <b/>
        <sz val="12"/>
        <color theme="1"/>
        <rFont val="Calibri bold"/>
      </rPr>
      <t xml:space="preserve"> ANTI</t>
    </r>
  </si>
  <si>
    <r>
      <t xml:space="preserve">Audience Facebook si arguments </t>
    </r>
    <r>
      <rPr>
        <b/>
        <u/>
        <sz val="12"/>
        <color theme="1"/>
        <rFont val="Calibri bold"/>
      </rPr>
      <t>&gt;50%</t>
    </r>
    <r>
      <rPr>
        <b/>
        <sz val="12"/>
        <color theme="1"/>
        <rFont val="Calibri bold"/>
      </rPr>
      <t xml:space="preserve"> POUR</t>
    </r>
  </si>
  <si>
    <r>
      <t xml:space="preserve">Nombre articles avec </t>
    </r>
    <r>
      <rPr>
        <b/>
        <u/>
        <sz val="12"/>
        <color theme="1"/>
        <rFont val="Calibri bold"/>
      </rPr>
      <t>&gt;50%</t>
    </r>
    <r>
      <rPr>
        <b/>
        <sz val="12"/>
        <color theme="1"/>
        <rFont val="Calibri bold"/>
      </rPr>
      <t xml:space="preserve"> ANTI</t>
    </r>
  </si>
  <si>
    <r>
      <t xml:space="preserve">Nombre article avec </t>
    </r>
    <r>
      <rPr>
        <b/>
        <u/>
        <sz val="12"/>
        <color theme="1"/>
        <rFont val="Calibri bold"/>
      </rPr>
      <t>&gt;50%</t>
    </r>
    <r>
      <rPr>
        <b/>
        <sz val="12"/>
        <color theme="1"/>
        <rFont val="Calibri bold"/>
      </rPr>
      <t xml:space="preserve"> POUR</t>
    </r>
  </si>
  <si>
    <r>
      <t>Audience Facebook si entre 40</t>
    </r>
    <r>
      <rPr>
        <b/>
        <u/>
        <sz val="12"/>
        <color theme="1"/>
        <rFont val="Calibri bold"/>
      </rPr>
      <t>-60%</t>
    </r>
    <r>
      <rPr>
        <b/>
        <sz val="12"/>
        <color theme="1"/>
        <rFont val="Calibri bold"/>
      </rPr>
      <t xml:space="preserve"> ANTI</t>
    </r>
    <r>
      <rPr>
        <b/>
        <sz val="11"/>
        <color theme="1"/>
        <rFont val="Calibri bold"/>
      </rPr>
      <t xml:space="preserve"> </t>
    </r>
  </si>
  <si>
    <t>Articles Facebook si entre 90-100% ANTI</t>
  </si>
  <si>
    <t xml:space="preserve">Articles Facebook si entre 75-90% ANTI </t>
  </si>
  <si>
    <t xml:space="preserve">Articles Facebook si entre 60-75% ANTI </t>
  </si>
  <si>
    <t xml:space="preserve">Articles Facebook si entre 40-60% ANTI </t>
  </si>
  <si>
    <t xml:space="preserve">Articles Facebook si entre 25-40% ANTI </t>
  </si>
  <si>
    <t xml:space="preserve">Articles Facebook si entre 10-25% ANTI </t>
  </si>
  <si>
    <t xml:space="preserve">Articles Facebook si entre 10-0% ANTI </t>
  </si>
  <si>
    <t>AGENCES SCIENTIFIQUE DEFAVORABLES :</t>
  </si>
  <si>
    <t>AGENCES SCIENTIFIQUE FAVORABLES :</t>
  </si>
  <si>
    <t xml:space="preserve">Des alternatives existent </t>
  </si>
  <si>
    <t xml:space="preserve">N'est pas cancérogène </t>
  </si>
  <si>
    <t xml:space="preserve">PRINCIPAUX ARGUMENTS ANTI </t>
  </si>
  <si>
    <t xml:space="preserve">PRINCIPAUX ARGUMENTS PRO </t>
  </si>
  <si>
    <t>EXPERTS CITES ?</t>
  </si>
  <si>
    <t>Présent dans % des articles</t>
  </si>
  <si>
    <t>Articles avec un expert "POUR" et "PLUTÔT POUR"</t>
  </si>
  <si>
    <t>Articles avec un expert NEUTRES</t>
  </si>
  <si>
    <t>Articles avec un expert "CONTRE" et "PLUTÔT CONTRE"</t>
  </si>
  <si>
    <t>TOTAL articles avec un expert cité</t>
  </si>
  <si>
    <t>MILITANTS CITES ?</t>
  </si>
  <si>
    <t>AGENCES SCIENTIFIQUES CITEES ?</t>
  </si>
  <si>
    <t>NB articles</t>
  </si>
  <si>
    <t>NB audience</t>
  </si>
  <si>
    <t>% ARTICLES</t>
  </si>
  <si>
    <t>% AUDIENCE</t>
  </si>
  <si>
    <t>sanitaire</t>
  </si>
  <si>
    <t>Présent dans % des articles (articles ne citant aucune agence exclus)</t>
  </si>
  <si>
    <t>TOTAL articles relayant discours militants cité</t>
  </si>
  <si>
    <t>Audiences avec un expert "POUR" et "PLUTÔT POUR"</t>
  </si>
  <si>
    <t>Audiences avec un expert NEUTRES</t>
  </si>
  <si>
    <t>Audiences avec un expert "CONTRE" et "PLUTÔT CONTRE"</t>
  </si>
  <si>
    <t>TOTAL Audiences avec un expert cité</t>
  </si>
  <si>
    <t>TOTAL Audiences relayant discours militants cité</t>
  </si>
  <si>
    <t>Générations Futures</t>
  </si>
  <si>
    <t>Greenpeace</t>
  </si>
  <si>
    <t>Foodwatch</t>
  </si>
  <si>
    <t>Ligue contre le Cancer</t>
  </si>
  <si>
    <t>Friends of the Earth Europe</t>
  </si>
  <si>
    <t>Confédération Paysanne</t>
  </si>
  <si>
    <t>EELV</t>
  </si>
  <si>
    <t>PS</t>
  </si>
  <si>
    <t>José Bové</t>
  </si>
  <si>
    <t>UICN</t>
  </si>
  <si>
    <t>Glyphosate Task Force</t>
  </si>
  <si>
    <t>Monsanto</t>
  </si>
  <si>
    <t>FNSEA</t>
  </si>
  <si>
    <t>copa-cogeca</t>
  </si>
  <si>
    <t>Coordination rurale</t>
  </si>
  <si>
    <t>AUDIENCES PAR SOURCES MILITANTES PRO</t>
  </si>
  <si>
    <t>AUDIENCES PAR SOURCE MILITANTES ANTI</t>
  </si>
  <si>
    <t>TOTAL AUDIENCE AVEC SOURCE MILITANTE ANTI</t>
  </si>
  <si>
    <t>TOTAL AUDIENCE AVEC SOURCE MILITANTE PRO</t>
  </si>
  <si>
    <t>FNSEA!</t>
  </si>
  <si>
    <t>Générations Futures, EELV, FNSEA! Confédération Paysanne,</t>
  </si>
  <si>
    <t>Générations futures, Foodwatch, Ligue contre le Cancer, Greenpeace, FNSEA!</t>
  </si>
  <si>
    <t>Friends of the Earth Europe, José Bové, EELV, Fondation pour la nature et l’homme, Greenpeace, FNSEA!</t>
  </si>
  <si>
    <t>Générations futures, Foodwatch, Ligue contre le Cancer, copa-cogeca! Fnsea! LR,</t>
  </si>
  <si>
    <t>Glyphosate Task Force!</t>
  </si>
  <si>
    <t>Monsanto!</t>
  </si>
  <si>
    <t>FNSEA! Coordination rurale! Confédération paysanne,</t>
  </si>
  <si>
    <t>FNSEA! Générations futures, Foodwatch, Ligue contre le Cancer, Greenpeace,</t>
  </si>
  <si>
    <t>Friends of the earth europe, Copa-Cogeca!</t>
  </si>
  <si>
    <t>Glyphosate Task Force! Confédération paysanne</t>
  </si>
  <si>
    <t xml:space="preserve">Fondation pour la nature et l'homme, Générations Futures, Copa-Cogeca! FNSEA! </t>
  </si>
  <si>
    <t>EELV, FNSEA!</t>
  </si>
  <si>
    <t>NB Militants anti cités</t>
  </si>
  <si>
    <t>Glyphosate : et maintenant, l'étude qui tombe à pic pour Monsanto</t>
  </si>
  <si>
    <t>TOTAL PAR JOURNAL</t>
  </si>
  <si>
    <t>LE MONDE</t>
  </si>
  <si>
    <t>POUR</t>
  </si>
  <si>
    <t>CONTRE</t>
  </si>
  <si>
    <t>NEUTRE</t>
  </si>
  <si>
    <t>Total</t>
  </si>
  <si>
    <t>HUFFINGTON POST</t>
  </si>
  <si>
    <t>NOUVEL OBS</t>
  </si>
  <si>
    <t>MARIANNE</t>
  </si>
  <si>
    <t>LE PARISIEN</t>
  </si>
  <si>
    <t>LE FIGARO</t>
  </si>
  <si>
    <t>L'EXPRESS</t>
  </si>
  <si>
    <t>LES ECHOS</t>
  </si>
  <si>
    <t>LIBÉRATION</t>
  </si>
  <si>
    <t>OUEST-FRANCE</t>
  </si>
  <si>
    <t>dr</t>
  </si>
  <si>
    <t>Pétition</t>
  </si>
  <si>
    <t>Lobbys manipulent</t>
  </si>
  <si>
    <t>Monsanto Papers</t>
  </si>
  <si>
    <t>Environnement</t>
  </si>
  <si>
    <t>Santé des agriculteurs</t>
  </si>
  <si>
    <t>Principe de précaution</t>
  </si>
  <si>
    <t>Monsanto racheté</t>
  </si>
  <si>
    <t>Dangereux pour la santé</t>
  </si>
  <si>
    <t>Agences incompétentes</t>
  </si>
  <si>
    <t>Agences corrompues</t>
  </si>
  <si>
    <t>Etude de l'AHS favorable</t>
  </si>
  <si>
    <t xml:space="preserve">Concurrence déloyale </t>
  </si>
  <si>
    <t>Opposition idéologique</t>
  </si>
  <si>
    <t>Pas d'alternative</t>
  </si>
  <si>
    <t>Préservation des sols</t>
  </si>
  <si>
    <t>Augmentation pesticides</t>
  </si>
  <si>
    <t>Rendements</t>
  </si>
  <si>
    <t>Quantité pesticides</t>
  </si>
  <si>
    <t>Pas de résidus nourriture</t>
  </si>
  <si>
    <t>démocratiques</t>
  </si>
  <si>
    <t>écologiques</t>
  </si>
  <si>
    <t>sanitaires</t>
  </si>
  <si>
    <t>complotistes (+-)</t>
  </si>
  <si>
    <t>techniques</t>
  </si>
  <si>
    <t>économiques</t>
  </si>
  <si>
    <t>CO2 augmente</t>
  </si>
  <si>
    <t>Ad personam ?</t>
  </si>
  <si>
    <t>Cancérigène probable</t>
  </si>
  <si>
    <t>EFSA (POUR)</t>
  </si>
  <si>
    <t>ECHA (POUR)</t>
  </si>
  <si>
    <t>Anses (POUR)</t>
  </si>
  <si>
    <t>OMS/FAO (POUR)</t>
  </si>
  <si>
    <t>BAuA (POUR)</t>
  </si>
  <si>
    <t>BfR (POUR)</t>
  </si>
  <si>
    <t>ARLA (POUR)</t>
  </si>
  <si>
    <t>PMRA (POUR)</t>
  </si>
  <si>
    <t>APVMA (POUR)</t>
  </si>
  <si>
    <t>NZ EPA (POUR)</t>
  </si>
  <si>
    <t>RDA (POUR)</t>
  </si>
  <si>
    <t>FSC (POUR)</t>
  </si>
  <si>
    <t>US EPA (POUR)</t>
  </si>
  <si>
    <t>CIRC (CONTRE)</t>
  </si>
  <si>
    <t>Articles relayant discours militants ANTI-GLYPHOSATE</t>
  </si>
  <si>
    <t>Articles relayant discours militants PRO-GLYPHOSATE</t>
  </si>
  <si>
    <t>Audience articles relayant discours militants ANTI-GLYPHOSATE</t>
  </si>
  <si>
    <t>Audience articles relayant discours militants PRO-GLYPHOSATE</t>
  </si>
  <si>
    <t>Interdiction coûteuse</t>
  </si>
  <si>
    <t>agriculteurs</t>
  </si>
  <si>
    <t>cancer</t>
  </si>
  <si>
    <t>sanitaire cancer</t>
  </si>
  <si>
    <t>sanitaire total</t>
  </si>
  <si>
    <t>sanitaire alarmistes</t>
  </si>
  <si>
    <t>sanitaire rassurants</t>
  </si>
  <si>
    <t>articles rassurants sanitaires ↓</t>
  </si>
  <si>
    <t>résume ↓</t>
  </si>
  <si>
    <t>g</t>
  </si>
  <si>
    <t>100-80%</t>
  </si>
  <si>
    <t>80-60%</t>
  </si>
  <si>
    <t>60-40%</t>
  </si>
  <si>
    <t>40-20%</t>
  </si>
  <si>
    <t>20-0%</t>
  </si>
  <si>
    <r>
      <t>Audience Facebook si entre 80-</t>
    </r>
    <r>
      <rPr>
        <b/>
        <u/>
        <sz val="12"/>
        <color theme="1"/>
        <rFont val="Calibri bold"/>
      </rPr>
      <t>100%</t>
    </r>
    <r>
      <rPr>
        <b/>
        <sz val="12"/>
        <color theme="1"/>
        <rFont val="Calibri bold"/>
      </rPr>
      <t xml:space="preserve"> ANTI</t>
    </r>
  </si>
  <si>
    <r>
      <t>Audience Facebook si entre 60</t>
    </r>
    <r>
      <rPr>
        <b/>
        <u/>
        <sz val="12"/>
        <color theme="1"/>
        <rFont val="Calibri bold"/>
      </rPr>
      <t>-80%</t>
    </r>
    <r>
      <rPr>
        <b/>
        <sz val="12"/>
        <color theme="1"/>
        <rFont val="Calibri bold"/>
      </rPr>
      <t xml:space="preserve"> ANTI</t>
    </r>
    <r>
      <rPr>
        <b/>
        <sz val="11"/>
        <color theme="1"/>
        <rFont val="Calibri bold"/>
      </rPr>
      <t xml:space="preserve"> </t>
    </r>
  </si>
  <si>
    <r>
      <t>Audience Facebook si entre 20</t>
    </r>
    <r>
      <rPr>
        <b/>
        <u/>
        <sz val="12"/>
        <color theme="1"/>
        <rFont val="Calibri bold"/>
      </rPr>
      <t>-40%</t>
    </r>
    <r>
      <rPr>
        <b/>
        <sz val="12"/>
        <color theme="1"/>
        <rFont val="Calibri bold"/>
      </rPr>
      <t xml:space="preserve"> ANTI</t>
    </r>
    <r>
      <rPr>
        <b/>
        <sz val="11"/>
        <color theme="1"/>
        <rFont val="Calibri bold"/>
      </rPr>
      <t xml:space="preserve"> </t>
    </r>
  </si>
  <si>
    <r>
      <t>Audience Facebook si entre 0</t>
    </r>
    <r>
      <rPr>
        <b/>
        <u/>
        <sz val="12"/>
        <color theme="1"/>
        <rFont val="Calibri bold"/>
      </rPr>
      <t>-20%</t>
    </r>
    <r>
      <rPr>
        <b/>
        <sz val="12"/>
        <color theme="1"/>
        <rFont val="Calibri bold"/>
      </rPr>
      <t xml:space="preserve"> ANTI</t>
    </r>
    <r>
      <rPr>
        <b/>
        <sz val="11"/>
        <color theme="1"/>
        <rFont val="Calibri bold"/>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</si>
</sst>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i/>
      <sz val="8"/>
      <color theme="1"/>
      <name val="Calibri"/>
      <family val="2"/>
      <scheme val="minor"/>
    </font>
    <font>
      <b/>
      <sz val="12"/>
      <color theme="0"/>
      <name val="Calibri"/>
      <family val="2"/>
      <scheme val="minor"/>
    </font>
    <font>
      <sz val="12"/>
      <color rgb="FF2F2F2F"/>
      <name val="Segoe UI"/>
      <family val="2"/>
    </font>
    <font>
      <sz val="12"/>
      <color theme="0"/>
      <name val="Segoe UI"/>
      <family val="2"/>
    </font>
    <font>
      <b/>
      <sz val="14"/>
      <color theme="1"/>
      <name val="Calibri"/>
      <family val="2"/>
      <scheme val="minor"/>
    </font>
    <font>
      <b/>
      <sz val="22"/>
      <color theme="1"/>
      <name val="Calibri"/>
      <family val="2"/>
      <scheme val="minor"/>
    </font>
    <font>
      <sz val="14"/>
      <color theme="1"/>
      <name val="Calibri"/>
      <family val="2"/>
      <scheme val="minor"/>
    </font>
    <font>
      <sz val="12"/>
      <color theme="1"/>
      <name val="Calibri"/>
      <family val="2"/>
      <scheme val="minor"/>
    </font>
    <font>
      <b/>
      <sz val="14"/>
      <color theme="0"/>
      <name val="Calibri"/>
      <family val="2"/>
      <scheme val="minor"/>
    </font>
    <font>
      <b/>
      <sz val="16"/>
      <color theme="0"/>
      <name val="Calibri"/>
      <family val="2"/>
      <scheme val="minor"/>
    </font>
    <font>
      <b/>
      <sz val="12"/>
      <color theme="1"/>
      <name val="Calibri bold"/>
    </font>
    <font>
      <b/>
      <u/>
      <sz val="12"/>
      <color theme="1"/>
      <name val="Calibri bold"/>
    </font>
    <font>
      <b/>
      <u/>
      <sz val="16"/>
      <color theme="1"/>
      <name val="Calibri bold"/>
    </font>
    <font>
      <b/>
      <sz val="14"/>
      <name val="Calibri"/>
      <family val="2"/>
      <scheme val="minor"/>
    </font>
    <font>
      <b/>
      <sz val="11"/>
      <color theme="1"/>
      <name val="Calibri bold"/>
    </font>
    <font>
      <sz val="10"/>
      <color theme="1"/>
      <name val="Calibri"/>
      <family val="2"/>
      <scheme val="minor"/>
    </font>
    <font>
      <sz val="10"/>
      <name val="Calibri"/>
      <family val="2"/>
      <scheme val="minor"/>
    </font>
    <font>
      <b/>
      <u/>
      <sz val="11"/>
      <color theme="1"/>
      <name val="Calibri bold"/>
    </font>
    <font>
      <b/>
      <sz val="11"/>
      <color theme="0"/>
      <name val="Calibri"/>
      <family val="2"/>
      <scheme val="minor"/>
    </font>
    <font>
      <b/>
      <sz val="12"/>
      <color theme="1"/>
      <name val="Calibri"/>
      <family val="2"/>
      <scheme val="minor"/>
    </font>
    <font>
      <b/>
      <sz val="16"/>
      <color theme="1"/>
      <name val="Calibri"/>
      <family val="2"/>
      <scheme val="minor"/>
    </font>
  </fonts>
  <fills count="25">
    <fill>
      <patternFill patternType="none"/>
    </fill>
    <fill>
      <patternFill patternType="gray125"/>
    </fill>
    <fill>
      <patternFill patternType="solid">
        <fgColor theme="5"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F2B60E"/>
        <bgColor indexed="64"/>
      </patternFill>
    </fill>
    <fill>
      <patternFill patternType="solid">
        <fgColor rgb="FFC00000"/>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0.749992370372631"/>
        <bgColor indexed="64"/>
      </patternFill>
    </fill>
    <fill>
      <patternFill patternType="solid">
        <fgColor rgb="FF35651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740000"/>
        <bgColor indexed="64"/>
      </patternFill>
    </fill>
    <fill>
      <patternFill patternType="solid">
        <fgColor rgb="FF97C749"/>
        <bgColor indexed="64"/>
      </patternFill>
    </fill>
    <fill>
      <patternFill patternType="solid">
        <fgColor rgb="FFFFC000"/>
        <bgColor indexed="64"/>
      </patternFill>
    </fill>
    <fill>
      <patternFill patternType="solid">
        <fgColor theme="9" tint="-0.49998474074526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92D050"/>
        <bgColor indexed="64"/>
      </patternFill>
    </fill>
    <fill>
      <patternFill patternType="solid">
        <fgColor theme="2"/>
        <bgColor indexed="64"/>
      </patternFill>
    </fill>
    <fill>
      <patternFill patternType="solid">
        <fgColor theme="7"/>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146">
    <xf numFmtId="0" fontId="0" fillId="0" borderId="0" xfId="0"/>
    <xf numFmtId="0" fontId="3" fillId="0" borderId="0" xfId="0" applyFont="1"/>
    <xf numFmtId="0" fontId="0" fillId="0" borderId="0" xfId="0" applyAlignment="1">
      <alignment wrapText="1"/>
    </xf>
    <xf numFmtId="0" fontId="0" fillId="0" borderId="0" xfId="0" applyAlignment="1">
      <alignment horizontal="center" vertical="center"/>
    </xf>
    <xf numFmtId="0" fontId="5" fillId="0" borderId="0" xfId="1" applyAlignment="1">
      <alignment wrapText="1"/>
    </xf>
    <xf numFmtId="0" fontId="1" fillId="0" borderId="0" xfId="0" applyFont="1" applyAlignment="1">
      <alignment horizontal="left" vertical="center" wrapText="1"/>
    </xf>
    <xf numFmtId="0" fontId="7" fillId="3" borderId="0" xfId="0" applyFont="1" applyFill="1" applyAlignment="1">
      <alignment horizontal="center" vertical="center"/>
    </xf>
    <xf numFmtId="0" fontId="7" fillId="6" borderId="0" xfId="0" applyFont="1" applyFill="1" applyAlignment="1">
      <alignment horizontal="center" vertical="center"/>
    </xf>
    <xf numFmtId="0" fontId="4" fillId="0" borderId="0" xfId="0" applyFont="1"/>
    <xf numFmtId="0" fontId="7" fillId="7" borderId="0" xfId="0" applyFont="1" applyFill="1" applyAlignment="1">
      <alignment horizontal="center" vertical="center"/>
    </xf>
    <xf numFmtId="0" fontId="4" fillId="0" borderId="0" xfId="0" applyFont="1" applyAlignment="1">
      <alignment horizontal="left"/>
    </xf>
    <xf numFmtId="0" fontId="0" fillId="9" borderId="0" xfId="0" applyFont="1" applyFill="1" applyBorder="1" applyAlignment="1">
      <alignment horizontal="center" vertical="center"/>
    </xf>
    <xf numFmtId="0" fontId="2" fillId="8" borderId="1" xfId="0" applyFont="1" applyFill="1" applyBorder="1" applyAlignment="1">
      <alignment horizontal="center" vertical="center"/>
    </xf>
    <xf numFmtId="0" fontId="2" fillId="7" borderId="2" xfId="0" applyFont="1" applyFill="1" applyBorder="1" applyAlignment="1">
      <alignment horizontal="center" vertical="center"/>
    </xf>
    <xf numFmtId="0" fontId="8" fillId="10" borderId="0" xfId="0" applyFont="1" applyFill="1" applyAlignment="1">
      <alignment horizontal="center" vertical="center"/>
    </xf>
    <xf numFmtId="0" fontId="8" fillId="2" borderId="4" xfId="0" applyFont="1" applyFill="1" applyBorder="1" applyAlignment="1">
      <alignment horizontal="center" vertical="center"/>
    </xf>
    <xf numFmtId="0" fontId="8" fillId="11" borderId="3" xfId="0" applyFont="1" applyFill="1" applyBorder="1" applyAlignment="1">
      <alignment horizontal="center" vertical="center"/>
    </xf>
    <xf numFmtId="0" fontId="7" fillId="0" borderId="0" xfId="0" applyFont="1" applyFill="1" applyAlignment="1">
      <alignment horizontal="center" vertical="center"/>
    </xf>
    <xf numFmtId="0" fontId="8" fillId="10" borderId="0" xfId="0" applyFont="1" applyFill="1" applyBorder="1" applyAlignment="1">
      <alignment horizontal="center" vertical="center"/>
    </xf>
    <xf numFmtId="0" fontId="7" fillId="13" borderId="0" xfId="0" applyFont="1" applyFill="1" applyAlignment="1">
      <alignment horizontal="center" vertical="center"/>
    </xf>
    <xf numFmtId="0" fontId="2" fillId="5" borderId="0" xfId="0" applyFont="1" applyFill="1" applyAlignment="1">
      <alignment vertical="center"/>
    </xf>
    <xf numFmtId="16" fontId="2" fillId="12" borderId="0" xfId="0" applyNumberFormat="1" applyFont="1" applyFill="1" applyAlignment="1">
      <alignment horizontal="left" vertical="center"/>
    </xf>
    <xf numFmtId="0" fontId="2" fillId="0" borderId="0" xfId="0" applyFont="1" applyFill="1" applyAlignment="1">
      <alignment horizontal="left"/>
    </xf>
    <xf numFmtId="0" fontId="0" fillId="4" borderId="0" xfId="0" applyFill="1" applyAlignment="1">
      <alignment horizontal="left" vertical="center"/>
    </xf>
    <xf numFmtId="0" fontId="1" fillId="10" borderId="0" xfId="0" applyFont="1" applyFill="1" applyAlignment="1">
      <alignment horizontal="left" vertical="center" wrapText="1"/>
    </xf>
    <xf numFmtId="0" fontId="5" fillId="10" borderId="0" xfId="1" applyFill="1" applyAlignment="1">
      <alignment horizontal="left" vertical="center" wrapText="1"/>
    </xf>
    <xf numFmtId="0" fontId="5" fillId="10" borderId="0" xfId="1" applyFill="1" applyAlignment="1">
      <alignment wrapText="1"/>
    </xf>
    <xf numFmtId="0" fontId="4" fillId="10" borderId="0" xfId="0" applyFont="1" applyFill="1" applyAlignment="1">
      <alignment horizontal="left" vertical="center" wrapText="1"/>
    </xf>
    <xf numFmtId="0" fontId="0" fillId="10" borderId="0" xfId="0" applyFill="1" applyAlignment="1">
      <alignment horizontal="left" vertical="center" wrapText="1"/>
    </xf>
    <xf numFmtId="0" fontId="4" fillId="10" borderId="0" xfId="0" applyFont="1" applyFill="1"/>
    <xf numFmtId="0" fontId="6" fillId="10" borderId="0" xfId="0" applyFont="1" applyFill="1" applyAlignment="1">
      <alignment horizontal="left" vertical="center" wrapText="1"/>
    </xf>
    <xf numFmtId="0" fontId="4" fillId="10" borderId="0" xfId="0" applyFont="1" applyFill="1" applyAlignment="1">
      <alignment horizontal="left" wrapText="1"/>
    </xf>
    <xf numFmtId="0" fontId="4" fillId="10" borderId="0" xfId="0" applyFont="1" applyFill="1" applyAlignment="1">
      <alignment horizontal="left"/>
    </xf>
    <xf numFmtId="3" fontId="1" fillId="14" borderId="0" xfId="0" applyNumberFormat="1" applyFont="1" applyFill="1" applyAlignment="1">
      <alignment horizontal="center" vertical="center"/>
    </xf>
    <xf numFmtId="0" fontId="4" fillId="0" borderId="0" xfId="0" applyFont="1" applyAlignment="1">
      <alignment horizontal="left" vertical="center"/>
    </xf>
    <xf numFmtId="0" fontId="0" fillId="0" borderId="0" xfId="0" applyFill="1"/>
    <xf numFmtId="16" fontId="0" fillId="0" borderId="0" xfId="0" applyNumberFormat="1" applyFill="1" applyAlignment="1">
      <alignment horizontal="left" vertical="center"/>
    </xf>
    <xf numFmtId="0" fontId="0" fillId="0" borderId="0" xfId="0" applyFill="1" applyAlignment="1">
      <alignment horizontal="left" vertical="center"/>
    </xf>
    <xf numFmtId="0" fontId="1" fillId="0" borderId="0" xfId="0" applyFont="1" applyFill="1" applyAlignment="1">
      <alignment horizontal="left" vertical="center" wrapText="1"/>
    </xf>
    <xf numFmtId="0" fontId="5" fillId="0" borderId="0" xfId="1" applyFill="1" applyAlignment="1">
      <alignment horizontal="left" vertical="center" wrapText="1"/>
    </xf>
    <xf numFmtId="0" fontId="4" fillId="0" borderId="0" xfId="0" applyFont="1" applyFill="1" applyAlignment="1">
      <alignment horizontal="left" wrapText="1"/>
    </xf>
    <xf numFmtId="0" fontId="4" fillId="0" borderId="0" xfId="0" applyFont="1" applyFill="1" applyAlignment="1">
      <alignment horizontal="left" vertical="center" wrapText="1"/>
    </xf>
    <xf numFmtId="0" fontId="8" fillId="0" borderId="0" xfId="0" applyFont="1" applyFill="1" applyBorder="1" applyAlignment="1">
      <alignment horizontal="center" vertical="center"/>
    </xf>
    <xf numFmtId="0" fontId="0" fillId="0" borderId="0" xfId="0" applyFill="1" applyBorder="1"/>
    <xf numFmtId="0" fontId="9" fillId="12" borderId="0" xfId="0" applyFont="1" applyFill="1" applyBorder="1" applyAlignment="1">
      <alignment horizontal="center" vertical="center"/>
    </xf>
    <xf numFmtId="0" fontId="9" fillId="12" borderId="5" xfId="0" applyFont="1" applyFill="1" applyBorder="1" applyAlignment="1">
      <alignment horizontal="center" vertical="center"/>
    </xf>
    <xf numFmtId="0" fontId="9" fillId="12" borderId="6"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16" fontId="2" fillId="0" borderId="0" xfId="0" applyNumberFormat="1" applyFont="1" applyFill="1" applyBorder="1" applyAlignment="1">
      <alignment horizontal="left" vertical="center"/>
    </xf>
    <xf numFmtId="0" fontId="5" fillId="0" borderId="0" xfId="1" applyFill="1" applyBorder="1" applyAlignment="1">
      <alignment wrapText="1"/>
    </xf>
    <xf numFmtId="0" fontId="4" fillId="0" borderId="0" xfId="0" applyFont="1" applyFill="1" applyBorder="1"/>
    <xf numFmtId="9" fontId="0" fillId="0" borderId="0" xfId="0" applyNumberFormat="1" applyAlignment="1">
      <alignment horizontal="center" vertical="center"/>
    </xf>
    <xf numFmtId="0" fontId="1" fillId="0" borderId="0" xfId="0" applyFont="1" applyAlignment="1">
      <alignment horizontal="center"/>
    </xf>
    <xf numFmtId="9" fontId="1" fillId="15" borderId="0" xfId="0" applyNumberFormat="1" applyFont="1" applyFill="1" applyAlignment="1">
      <alignment horizontal="center" vertical="center"/>
    </xf>
    <xf numFmtId="0" fontId="7" fillId="16" borderId="0" xfId="0" applyFont="1" applyFill="1" applyAlignment="1">
      <alignment horizontal="center" vertical="center"/>
    </xf>
    <xf numFmtId="0" fontId="7" fillId="17" borderId="0" xfId="0" applyFont="1" applyFill="1" applyAlignment="1">
      <alignment horizontal="center" vertical="center"/>
    </xf>
    <xf numFmtId="0" fontId="4" fillId="10" borderId="0" xfId="0" applyFont="1" applyFill="1" applyAlignment="1">
      <alignment vertical="center"/>
    </xf>
    <xf numFmtId="0" fontId="4" fillId="0" borderId="0" xfId="0" applyFont="1" applyFill="1" applyBorder="1" applyAlignment="1">
      <alignment vertical="center"/>
    </xf>
    <xf numFmtId="9" fontId="0" fillId="0" borderId="0" xfId="0" applyNumberFormat="1" applyFill="1" applyBorder="1" applyAlignment="1">
      <alignment horizontal="center" vertical="center"/>
    </xf>
    <xf numFmtId="0" fontId="4" fillId="10" borderId="0" xfId="0" applyFont="1" applyFill="1" applyAlignment="1">
      <alignment horizontal="left" vertical="center"/>
    </xf>
    <xf numFmtId="10" fontId="0" fillId="0" borderId="0" xfId="0" applyNumberFormat="1"/>
    <xf numFmtId="0" fontId="11" fillId="0" borderId="0" xfId="0" applyFont="1" applyFill="1" applyAlignment="1">
      <alignment horizontal="left" vertical="center"/>
    </xf>
    <xf numFmtId="0" fontId="12" fillId="0" borderId="0" xfId="0" applyFont="1"/>
    <xf numFmtId="10" fontId="14" fillId="19" borderId="0" xfId="0" applyNumberFormat="1" applyFont="1" applyFill="1" applyAlignment="1">
      <alignment horizontal="center" vertical="center"/>
    </xf>
    <xf numFmtId="10" fontId="14" fillId="22" borderId="0" xfId="0" applyNumberFormat="1" applyFont="1" applyFill="1" applyAlignment="1">
      <alignment horizontal="center" vertical="center"/>
    </xf>
    <xf numFmtId="10" fontId="14" fillId="21" borderId="0" xfId="0" applyNumberFormat="1" applyFont="1" applyFill="1" applyAlignment="1">
      <alignment horizontal="center" vertical="center"/>
    </xf>
    <xf numFmtId="10" fontId="14" fillId="0" borderId="0" xfId="0" applyNumberFormat="1" applyFont="1" applyAlignment="1">
      <alignment horizontal="center" vertical="center"/>
    </xf>
    <xf numFmtId="10" fontId="14" fillId="18" borderId="0" xfId="0" applyNumberFormat="1" applyFont="1" applyFill="1" applyAlignment="1">
      <alignment horizontal="center" vertical="center"/>
    </xf>
    <xf numFmtId="10" fontId="14" fillId="7" borderId="0" xfId="0" applyNumberFormat="1" applyFont="1" applyFill="1" applyAlignment="1">
      <alignment horizontal="center" vertical="center"/>
    </xf>
    <xf numFmtId="10" fontId="15" fillId="19" borderId="0" xfId="0" applyNumberFormat="1" applyFont="1" applyFill="1" applyAlignment="1">
      <alignment horizontal="center" vertical="center"/>
    </xf>
    <xf numFmtId="10" fontId="15" fillId="22" borderId="0" xfId="0" applyNumberFormat="1" applyFont="1" applyFill="1" applyAlignment="1">
      <alignment horizontal="center" vertical="center"/>
    </xf>
    <xf numFmtId="10" fontId="15" fillId="21" borderId="0" xfId="0" applyNumberFormat="1" applyFont="1" applyFill="1" applyAlignment="1">
      <alignment horizontal="center" vertical="center"/>
    </xf>
    <xf numFmtId="10" fontId="15" fillId="0" borderId="0" xfId="0" applyNumberFormat="1" applyFont="1" applyAlignment="1">
      <alignment horizontal="center" vertical="center"/>
    </xf>
    <xf numFmtId="10" fontId="15" fillId="18" borderId="0" xfId="0" applyNumberFormat="1" applyFont="1" applyFill="1" applyAlignment="1">
      <alignment horizontal="center" vertical="center"/>
    </xf>
    <xf numFmtId="10" fontId="15" fillId="7" borderId="0" xfId="0" applyNumberFormat="1" applyFont="1" applyFill="1" applyAlignment="1">
      <alignment horizontal="center" vertical="center"/>
    </xf>
    <xf numFmtId="10" fontId="15" fillId="8" borderId="0" xfId="0" applyNumberFormat="1" applyFont="1" applyFill="1" applyAlignment="1">
      <alignment horizontal="center" vertical="center"/>
    </xf>
    <xf numFmtId="0" fontId="0" fillId="0" borderId="0" xfId="0" applyAlignment="1">
      <alignment horizontal="center"/>
    </xf>
    <xf numFmtId="0" fontId="16" fillId="0" borderId="0" xfId="0" applyFont="1" applyFill="1" applyAlignment="1">
      <alignment horizontal="left" vertical="center"/>
    </xf>
    <xf numFmtId="9" fontId="15" fillId="8" borderId="0" xfId="0" applyNumberFormat="1" applyFont="1" applyFill="1" applyAlignment="1">
      <alignment horizontal="center" vertical="center"/>
    </xf>
    <xf numFmtId="9" fontId="15" fillId="7" borderId="0" xfId="0" applyNumberFormat="1" applyFont="1" applyFill="1" applyAlignment="1">
      <alignment horizontal="center" vertical="center"/>
    </xf>
    <xf numFmtId="0" fontId="18" fillId="0" borderId="0" xfId="0" applyFont="1" applyFill="1" applyAlignment="1">
      <alignment horizontal="left" vertical="center"/>
    </xf>
    <xf numFmtId="0" fontId="16" fillId="23" borderId="0" xfId="0" applyFont="1" applyFill="1" applyAlignment="1">
      <alignment horizontal="left" vertical="center"/>
    </xf>
    <xf numFmtId="0" fontId="13" fillId="23" borderId="0" xfId="0" applyFont="1" applyFill="1"/>
    <xf numFmtId="0" fontId="16" fillId="23" borderId="0" xfId="0" applyFont="1" applyFill="1" applyAlignment="1">
      <alignment vertical="center"/>
    </xf>
    <xf numFmtId="0" fontId="0" fillId="23" borderId="0" xfId="0" applyFill="1"/>
    <xf numFmtId="0" fontId="18" fillId="23" borderId="0" xfId="0" applyFont="1" applyFill="1" applyAlignment="1">
      <alignment horizontal="left" vertical="center"/>
    </xf>
    <xf numFmtId="10" fontId="15" fillId="7" borderId="7" xfId="0" applyNumberFormat="1" applyFont="1" applyFill="1" applyBorder="1" applyAlignment="1">
      <alignment horizontal="center" vertical="center"/>
    </xf>
    <xf numFmtId="10" fontId="15" fillId="8" borderId="7" xfId="0" applyNumberFormat="1" applyFont="1" applyFill="1" applyBorder="1" applyAlignment="1">
      <alignment horizontal="center" vertical="center"/>
    </xf>
    <xf numFmtId="3" fontId="12" fillId="0" borderId="0" xfId="0" applyNumberFormat="1" applyFont="1" applyAlignment="1">
      <alignment horizontal="center" vertical="center"/>
    </xf>
    <xf numFmtId="10" fontId="15" fillId="17" borderId="0" xfId="0" applyNumberFormat="1" applyFont="1" applyFill="1" applyAlignment="1">
      <alignment horizontal="center" vertical="center"/>
    </xf>
    <xf numFmtId="10" fontId="15" fillId="20" borderId="0" xfId="0" applyNumberFormat="1" applyFont="1" applyFill="1" applyAlignment="1">
      <alignment horizontal="center" vertical="center"/>
    </xf>
    <xf numFmtId="10" fontId="15" fillId="24" borderId="0" xfId="0" applyNumberFormat="1" applyFont="1" applyFill="1" applyAlignment="1">
      <alignment horizontal="center" vertical="center"/>
    </xf>
    <xf numFmtId="3" fontId="12" fillId="0" borderId="0" xfId="0" applyNumberFormat="1" applyFont="1" applyFill="1" applyAlignment="1">
      <alignment horizontal="center" vertical="center"/>
    </xf>
    <xf numFmtId="0" fontId="12" fillId="0" borderId="0" xfId="0" applyFont="1" applyAlignment="1">
      <alignment horizontal="center" vertical="center"/>
    </xf>
    <xf numFmtId="10" fontId="12" fillId="0" borderId="0" xfId="0" applyNumberFormat="1" applyFont="1"/>
    <xf numFmtId="9" fontId="15" fillId="7" borderId="8" xfId="0" applyNumberFormat="1" applyFont="1" applyFill="1" applyBorder="1" applyAlignment="1">
      <alignment horizontal="center" vertical="center"/>
    </xf>
    <xf numFmtId="9" fontId="15" fillId="8" borderId="9" xfId="0" applyNumberFormat="1" applyFont="1" applyFill="1" applyBorder="1" applyAlignment="1">
      <alignment horizontal="center" vertical="center"/>
    </xf>
    <xf numFmtId="10" fontId="14" fillId="7" borderId="10" xfId="0" applyNumberFormat="1" applyFont="1" applyFill="1" applyBorder="1" applyAlignment="1">
      <alignment horizontal="center" vertical="center"/>
    </xf>
    <xf numFmtId="10" fontId="14" fillId="8" borderId="11" xfId="0" applyNumberFormat="1" applyFont="1" applyFill="1" applyBorder="1" applyAlignment="1">
      <alignment horizontal="center" vertical="center"/>
    </xf>
    <xf numFmtId="10" fontId="14" fillId="7" borderId="0" xfId="0" applyNumberFormat="1" applyFont="1" applyFill="1" applyBorder="1" applyAlignment="1">
      <alignment horizontal="center" vertical="center"/>
    </xf>
    <xf numFmtId="10" fontId="14" fillId="8"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0" fontId="14"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Alignment="1">
      <alignment horizontal="center" vertical="center"/>
    </xf>
    <xf numFmtId="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3" fontId="22" fillId="0" borderId="0" xfId="0" applyNumberFormat="1" applyFont="1" applyFill="1" applyBorder="1" applyAlignment="1">
      <alignment horizontal="center" vertical="center"/>
    </xf>
    <xf numFmtId="0" fontId="4" fillId="0" borderId="0" xfId="0" applyFont="1" applyFill="1"/>
    <xf numFmtId="0" fontId="4"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horizontal="center" vertical="center"/>
    </xf>
    <xf numFmtId="10" fontId="14" fillId="21" borderId="0" xfId="0" applyNumberFormat="1" applyFont="1" applyFill="1" applyBorder="1" applyAlignment="1">
      <alignment horizontal="center" vertical="center"/>
    </xf>
    <xf numFmtId="10" fontId="19" fillId="10" borderId="7" xfId="0" applyNumberFormat="1" applyFont="1" applyFill="1" applyBorder="1" applyAlignment="1">
      <alignment horizontal="center" vertical="center"/>
    </xf>
    <xf numFmtId="3" fontId="0" fillId="0" borderId="0" xfId="0" applyNumberFormat="1" applyFill="1"/>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10" fontId="19" fillId="0" borderId="0" xfId="0" applyNumberFormat="1" applyFont="1" applyFill="1" applyBorder="1" applyAlignment="1">
      <alignment horizontal="center" vertical="center"/>
    </xf>
    <xf numFmtId="0" fontId="0" fillId="0" borderId="0" xfId="0" applyAlignment="1">
      <alignment horizontal="center" vertical="top"/>
    </xf>
    <xf numFmtId="3" fontId="0" fillId="0" borderId="0" xfId="0" applyNumberFormat="1"/>
    <xf numFmtId="10" fontId="14" fillId="7" borderId="12" xfId="0" applyNumberFormat="1" applyFont="1" applyFill="1" applyBorder="1" applyAlignment="1">
      <alignment horizontal="center" vertical="center"/>
    </xf>
    <xf numFmtId="10" fontId="14" fillId="7" borderId="11" xfId="0" applyNumberFormat="1" applyFont="1" applyFill="1" applyBorder="1" applyAlignment="1">
      <alignment horizontal="center" vertical="center"/>
    </xf>
    <xf numFmtId="0" fontId="20" fillId="23" borderId="0" xfId="0" applyFont="1" applyFill="1" applyAlignment="1">
      <alignment horizontal="left" vertical="center"/>
    </xf>
    <xf numFmtId="0" fontId="23" fillId="23" borderId="0" xfId="0" applyFont="1" applyFill="1" applyAlignment="1">
      <alignment horizontal="left" vertical="center"/>
    </xf>
    <xf numFmtId="0" fontId="6" fillId="0" borderId="0" xfId="0" applyFont="1" applyFill="1" applyAlignment="1">
      <alignment horizontal="left" vertical="center" wrapText="1"/>
    </xf>
    <xf numFmtId="10" fontId="21" fillId="0" borderId="0" xfId="0" applyNumberFormat="1" applyFont="1" applyFill="1" applyAlignment="1">
      <alignment horizontal="center" vertical="center"/>
    </xf>
    <xf numFmtId="0" fontId="21" fillId="0" borderId="0" xfId="0" applyFont="1" applyFill="1" applyAlignment="1">
      <alignment horizontal="center" vertical="center"/>
    </xf>
    <xf numFmtId="0" fontId="1" fillId="0" borderId="0" xfId="0" applyFont="1"/>
    <xf numFmtId="0" fontId="25" fillId="10" borderId="0" xfId="0" applyFont="1" applyFill="1" applyAlignment="1">
      <alignment horizontal="center" vertical="center"/>
    </xf>
    <xf numFmtId="0" fontId="12" fillId="10" borderId="0" xfId="0" applyNumberFormat="1" applyFont="1" applyFill="1" applyAlignment="1">
      <alignment horizontal="center" vertical="center"/>
    </xf>
    <xf numFmtId="9" fontId="0" fillId="0" borderId="0" xfId="0" applyNumberFormat="1"/>
    <xf numFmtId="9" fontId="24" fillId="7" borderId="0" xfId="0" applyNumberFormat="1" applyFont="1" applyFill="1" applyAlignment="1">
      <alignment horizontal="center" vertical="center"/>
    </xf>
    <xf numFmtId="9" fontId="24" fillId="15" borderId="0" xfId="0" applyNumberFormat="1" applyFont="1" applyFill="1" applyAlignment="1">
      <alignment horizontal="center" vertical="center"/>
    </xf>
    <xf numFmtId="9" fontId="24" fillId="8" borderId="0" xfId="0" applyNumberFormat="1" applyFont="1" applyFill="1" applyAlignment="1">
      <alignment horizontal="center" vertical="center"/>
    </xf>
    <xf numFmtId="9" fontId="26" fillId="0" borderId="0" xfId="0" applyNumberFormat="1" applyFont="1" applyAlignment="1">
      <alignment horizontal="center" vertical="center"/>
    </xf>
    <xf numFmtId="9" fontId="2" fillId="10" borderId="0" xfId="0" applyNumberFormat="1" applyFont="1" applyFill="1"/>
    <xf numFmtId="0" fontId="0" fillId="10" borderId="0" xfId="0" applyFill="1" applyAlignment="1">
      <alignment horizontal="center" vertical="center"/>
    </xf>
    <xf numFmtId="0" fontId="0" fillId="10" borderId="0" xfId="0" applyFill="1"/>
    <xf numFmtId="0" fontId="2" fillId="0" borderId="0" xfId="0" applyFont="1"/>
    <xf numFmtId="3" fontId="0" fillId="0" borderId="0" xfId="0" applyNumberFormat="1" applyAlignment="1">
      <alignment horizontal="center" vertical="top"/>
    </xf>
    <xf numFmtId="9" fontId="2" fillId="10" borderId="0" xfId="0" applyNumberFormat="1" applyFont="1" applyFill="1" applyBorder="1"/>
    <xf numFmtId="0" fontId="0" fillId="0" borderId="0" xfId="0" quotePrefix="1"/>
  </cellXfs>
  <cellStyles count="2">
    <cellStyle name="Lien hypertexte" xfId="1" builtinId="8"/>
    <cellStyle name="Normal" xfId="0" builtinId="0"/>
  </cellStyles>
  <dxfs count="0"/>
  <tableStyles count="0" defaultTableStyle="TableStyleMedium2" defaultPivotStyle="PivotStyleLight16"/>
  <colors>
    <mruColors>
      <color rgb="FF669900"/>
      <color rgb="FF008000"/>
      <color rgb="FF336600"/>
      <color rgb="FF339933"/>
      <color rgb="FF336699"/>
      <color rgb="FF000000"/>
      <color rgb="FF408C3C"/>
      <color rgb="FF3E7645"/>
      <color rgb="FF97C749"/>
      <color rgb="FFF2B6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a:latin typeface="+mj-lt"/>
              </a:rPr>
              <a:t>Nombre d'articles (n=80)</a:t>
            </a:r>
            <a:endParaRPr lang="fr-FR" sz="1400" baseline="0">
              <a:latin typeface="+mj-lt"/>
            </a:endParaRPr>
          </a:p>
        </c:rich>
      </c:tx>
      <c:layout>
        <c:manualLayout>
          <c:xMode val="edge"/>
          <c:yMode val="edge"/>
          <c:x val="0.27825678040244967"/>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ysClr val="window" lastClr="FFFFFF">
                  <a:lumMod val="75000"/>
                </a:sysClr>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Feuil1!$G$128:$G$130</c:f>
              <c:numCache>
                <c:formatCode>0.00%</c:formatCode>
                <c:ptCount val="3"/>
                <c:pt idx="0">
                  <c:v>0.15</c:v>
                </c:pt>
                <c:pt idx="1">
                  <c:v>0.26250000000000001</c:v>
                </c:pt>
                <c:pt idx="2">
                  <c:v>0.58750000000000002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a:latin typeface="+mj-lt"/>
              </a:rPr>
              <a:t>Répartition des arguments pour/contre dans les médias - médiane (n=244)</a:t>
            </a:r>
          </a:p>
        </c:rich>
      </c:tx>
      <c:layout>
        <c:manualLayout>
          <c:xMode val="edge"/>
          <c:yMode val="edge"/>
          <c:x val="9.2145669291338578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layout>
                <c:manualLayout>
                  <c:x val="9.3449037620297465E-2"/>
                  <c:y val="0.18112860892388447"/>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Feuil1!$G$188:$H$188</c:f>
              <c:numCache>
                <c:formatCode>0%</c:formatCode>
                <c:ptCount val="2"/>
                <c:pt idx="0">
                  <c:v>0.8666666666666667</c:v>
                </c:pt>
                <c:pt idx="1">
                  <c:v>0.1333333333333333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sz="1400" b="0" i="0" baseline="0">
                <a:effectLst/>
                <a:latin typeface="+mj-lt"/>
              </a:rPr>
              <a:t>[JOURNAUX DE GAUCHE]</a:t>
            </a:r>
          </a:p>
          <a:p>
            <a:pPr>
              <a:defRPr>
                <a:latin typeface="+mj-lt"/>
              </a:defRPr>
            </a:pPr>
            <a:r>
              <a:rPr lang="en-US" sz="1400" b="0" i="0" baseline="0">
                <a:effectLst/>
                <a:latin typeface="+mj-lt"/>
              </a:rPr>
              <a:t>Répartition des arguments - médiane (n=122)</a:t>
            </a:r>
            <a:endParaRPr lang="fr-FR" sz="1400">
              <a:effectLst/>
              <a:latin typeface="+mj-lt"/>
            </a:endParaRPr>
          </a:p>
        </c:rich>
      </c:tx>
      <c:layout>
        <c:manualLayout>
          <c:xMode val="edge"/>
          <c:yMode val="edge"/>
          <c:x val="0.11436789151356079"/>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layout>
                <c:manualLayout>
                  <c:x val="-1.0936132983886331E-6"/>
                  <c:y val="-0.342581656459609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Feuil1!$G$192:$H$192</c:f>
              <c:numCache>
                <c:formatCode>0%</c:formatCode>
                <c:ptCount val="2"/>
                <c:pt idx="0">
                  <c:v>1</c:v>
                </c:pt>
                <c:pt idx="1">
                  <c:v>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sz="1400" b="0" i="0" baseline="0">
                <a:effectLst/>
                <a:latin typeface="+mj-lt"/>
              </a:rPr>
              <a:t>[JOURNAUX DE DROITE]</a:t>
            </a:r>
            <a:endParaRPr lang="fr-FR" sz="1400">
              <a:effectLst/>
              <a:latin typeface="+mj-lt"/>
            </a:endParaRPr>
          </a:p>
          <a:p>
            <a:pPr>
              <a:defRPr>
                <a:latin typeface="+mj-lt"/>
              </a:defRPr>
            </a:pPr>
            <a:r>
              <a:rPr lang="en-US" sz="1400" b="0" i="0" baseline="0">
                <a:effectLst/>
                <a:latin typeface="+mj-lt"/>
              </a:rPr>
              <a:t>Répartition des arguments - médiane (n=76)</a:t>
            </a:r>
            <a:endParaRPr lang="fr-FR" sz="1400">
              <a:effectLst/>
              <a:latin typeface="+mj-lt"/>
            </a:endParaRPr>
          </a:p>
        </c:rich>
      </c:tx>
      <c:layout>
        <c:manualLayout>
          <c:xMode val="edge"/>
          <c:yMode val="edge"/>
          <c:x val="9.2145669291338578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layout>
                <c:manualLayout>
                  <c:x val="0.16289348206474191"/>
                  <c:y val="-4.0565762613007554E-3"/>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Feuil1!$G$196:$H$196</c:f>
              <c:numCache>
                <c:formatCode>0%</c:formatCode>
                <c:ptCount val="2"/>
                <c:pt idx="0">
                  <c:v>0.5</c:v>
                </c:pt>
                <c:pt idx="1">
                  <c:v>0.5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baseline="0">
                <a:latin typeface="+mj-lt"/>
              </a:rPr>
              <a:t>Articles avec plus, ou moins de 50% d'arguments favorables</a:t>
            </a:r>
            <a:endParaRPr lang="fr-FR">
              <a:latin typeface="+mj-lt"/>
            </a:endParaRPr>
          </a:p>
        </c:rich>
      </c:tx>
      <c:layout>
        <c:manualLayout>
          <c:xMode val="edge"/>
          <c:yMode val="edge"/>
          <c:x val="9.2145669291338578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layout>
                <c:manualLayout>
                  <c:x val="9.3449037620297465E-2"/>
                  <c:y val="0.18112860892388447"/>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Feuil1!$G$199:$G$200</c:f>
              <c:numCache>
                <c:formatCode>0.00%</c:formatCode>
                <c:ptCount val="2"/>
                <c:pt idx="0">
                  <c:v>0.82432432432432434</c:v>
                </c:pt>
                <c:pt idx="1">
                  <c:v>0.17567567567567569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b="0" i="0" baseline="0">
                <a:effectLst/>
                <a:latin typeface="+mj-lt"/>
              </a:rPr>
              <a:t>Audience avec plus, ou moins de 50% d'arguments favorables</a:t>
            </a:r>
            <a:endParaRPr lang="fr-FR" sz="1100">
              <a:effectLst/>
              <a:latin typeface="+mj-lt"/>
            </a:endParaRPr>
          </a:p>
        </c:rich>
      </c:tx>
      <c:layout>
        <c:manualLayout>
          <c:xMode val="edge"/>
          <c:yMode val="edge"/>
          <c:x val="0.1615901137357830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layout>
                <c:manualLayout>
                  <c:x val="-2.5896762904636922E-4"/>
                  <c:y val="-0.1631995479731700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3.2337926509186349E-2"/>
                  <c:y val="0.14409157188684743"/>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Feuil1!$G$202:$G$203</c:f>
              <c:numCache>
                <c:formatCode>0.00%</c:formatCode>
                <c:ptCount val="2"/>
                <c:pt idx="0">
                  <c:v>0.96306788496592399</c:v>
                </c:pt>
                <c:pt idx="1">
                  <c:v>3.6932115034076E-2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j-lt"/>
                <a:ea typeface="+mn-ea"/>
                <a:cs typeface="+mn-cs"/>
              </a:defRPr>
            </a:pPr>
            <a:r>
              <a:rPr lang="fr-FR" b="0">
                <a:latin typeface="+mj-lt"/>
              </a:rPr>
              <a:t>Répartition de l'audience selon le ratio pour/contre des articles</a:t>
            </a:r>
          </a:p>
          <a:p>
            <a:pPr>
              <a:defRPr b="0">
                <a:latin typeface="+mj-lt"/>
              </a:defRPr>
            </a:pPr>
            <a:endParaRPr lang="fr-FR" b="0">
              <a:latin typeface="+mj-lt"/>
            </a:endParaRP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j-lt"/>
              <a:ea typeface="+mn-ea"/>
              <a:cs typeface="+mn-cs"/>
            </a:defRPr>
          </a:pPr>
          <a:endParaRPr lang="fr-FR"/>
        </a:p>
      </c:txPr>
    </c:title>
    <c:autoTitleDeleted val="0"/>
    <c:plotArea>
      <c:layout>
        <c:manualLayout>
          <c:layoutTarget val="inner"/>
          <c:xMode val="edge"/>
          <c:yMode val="edge"/>
          <c:x val="9.399006620007655E-2"/>
          <c:y val="0.28465542220903967"/>
          <c:w val="0.78276703422411109"/>
          <c:h val="0.55576359259850794"/>
        </c:manualLayout>
      </c:layout>
      <c:barChart>
        <c:barDir val="col"/>
        <c:grouping val="clustered"/>
        <c:varyColors val="0"/>
        <c:ser>
          <c:idx val="0"/>
          <c:order val="0"/>
          <c:tx>
            <c:v>Nombre d'articles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Feuil1!$U$212:$U$216</c:f>
              <c:strCache>
                <c:ptCount val="5"/>
                <c:pt idx="0">
                  <c:v>100-80%</c:v>
                </c:pt>
                <c:pt idx="1">
                  <c:v>80-60%</c:v>
                </c:pt>
                <c:pt idx="2">
                  <c:v>60-40%</c:v>
                </c:pt>
                <c:pt idx="3">
                  <c:v>40-20%</c:v>
                </c:pt>
                <c:pt idx="4">
                  <c:v>20-0%</c:v>
                </c:pt>
              </c:strCache>
            </c:strRef>
          </c:cat>
          <c:val>
            <c:numRef>
              <c:f>Feuil1!$F$205:$F$209</c:f>
              <c:numCache>
                <c:formatCode>General</c:formatCode>
                <c:ptCount val="5"/>
                <c:pt idx="0">
                  <c:v>38</c:v>
                </c:pt>
                <c:pt idx="1">
                  <c:v>14</c:v>
                </c:pt>
                <c:pt idx="2">
                  <c:v>9</c:v>
                </c:pt>
                <c:pt idx="3">
                  <c:v>2</c:v>
                </c:pt>
                <c:pt idx="4">
                  <c:v>2</c:v>
                </c:pt>
              </c:numCache>
            </c:numRef>
          </c:val>
        </c:ser>
        <c:dLbls>
          <c:showLegendKey val="0"/>
          <c:showVal val="0"/>
          <c:showCatName val="0"/>
          <c:showSerName val="0"/>
          <c:showPercent val="0"/>
          <c:showBubbleSize val="0"/>
        </c:dLbls>
        <c:gapWidth val="219"/>
        <c:overlap val="-27"/>
        <c:axId val="691997440"/>
        <c:axId val="691986560"/>
      </c:barChart>
      <c:lineChart>
        <c:grouping val="standard"/>
        <c:varyColors val="0"/>
        <c:ser>
          <c:idx val="1"/>
          <c:order val="1"/>
          <c:tx>
            <c:v>Audience</c:v>
          </c:tx>
          <c:spPr>
            <a:ln w="34925" cap="rnd">
              <a:solidFill>
                <a:schemeClr val="accent2"/>
              </a:solidFill>
              <a:round/>
            </a:ln>
            <a:effectLst>
              <a:outerShdw blurRad="57150" dist="19050" dir="5400000" algn="ctr" rotWithShape="0">
                <a:srgbClr val="000000">
                  <a:alpha val="63000"/>
                </a:srgbClr>
              </a:outerShdw>
            </a:effectLst>
          </c:spPr>
          <c:marker>
            <c:symbol val="none"/>
          </c:marker>
          <c:cat>
            <c:strLit>
              <c:ptCount val="1"/>
              <c:pt idx="0">
                <c:v>r</c:v>
              </c:pt>
            </c:strLit>
          </c:cat>
          <c:val>
            <c:numRef>
              <c:f>Feuil1!$F$213:$F$217</c:f>
              <c:numCache>
                <c:formatCode>General</c:formatCode>
                <c:ptCount val="5"/>
                <c:pt idx="0">
                  <c:v>47275</c:v>
                </c:pt>
                <c:pt idx="1">
                  <c:v>30267</c:v>
                </c:pt>
                <c:pt idx="2">
                  <c:v>5408</c:v>
                </c:pt>
                <c:pt idx="3">
                  <c:v>564</c:v>
                </c:pt>
                <c:pt idx="4">
                  <c:v>27</c:v>
                </c:pt>
              </c:numCache>
            </c:numRef>
          </c:val>
          <c:smooth val="0"/>
        </c:ser>
        <c:dLbls>
          <c:showLegendKey val="0"/>
          <c:showVal val="0"/>
          <c:showCatName val="0"/>
          <c:showSerName val="0"/>
          <c:showPercent val="0"/>
          <c:showBubbleSize val="0"/>
        </c:dLbls>
        <c:marker val="1"/>
        <c:smooth val="0"/>
        <c:axId val="691992544"/>
        <c:axId val="691997984"/>
      </c:lineChart>
      <c:dateAx>
        <c:axId val="69199744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 d'arguments CONTRE</a:t>
                </a:r>
              </a:p>
            </c:rich>
          </c:tx>
          <c:layout>
            <c:manualLayout>
              <c:xMode val="edge"/>
              <c:yMode val="edge"/>
              <c:x val="0.40241975364351301"/>
              <c:y val="0.922913767140477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6560"/>
        <c:crosses val="autoZero"/>
        <c:auto val="0"/>
        <c:lblOffset val="100"/>
        <c:baseTimeUnit val="days"/>
        <c:majorUnit val="1"/>
      </c:dateAx>
      <c:valAx>
        <c:axId val="691986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NOMBRE D'ARTICLES</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97440"/>
        <c:crosses val="autoZero"/>
        <c:crossBetween val="between"/>
      </c:valAx>
      <c:valAx>
        <c:axId val="691997984"/>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AUDIENCE</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92544"/>
        <c:crosses val="max"/>
        <c:crossBetween val="between"/>
      </c:valAx>
      <c:dateAx>
        <c:axId val="691992544"/>
        <c:scaling>
          <c:orientation val="minMax"/>
        </c:scaling>
        <c:delete val="1"/>
        <c:axPos val="b"/>
        <c:numFmt formatCode="General" sourceLinked="1"/>
        <c:majorTickMark val="none"/>
        <c:minorTickMark val="none"/>
        <c:tickLblPos val="nextTo"/>
        <c:crossAx val="691997984"/>
        <c:crosses val="autoZero"/>
        <c:auto val="0"/>
        <c:lblOffset val="100"/>
        <c:baseTimeUnit val="days"/>
      </c:dateAx>
      <c:spPr>
        <a:noFill/>
        <a:ln>
          <a:noFill/>
        </a:ln>
        <a:effectLst/>
      </c:spPr>
    </c:plotArea>
    <c:legend>
      <c:legendPos val="b"/>
      <c:layout>
        <c:manualLayout>
          <c:xMode val="edge"/>
          <c:yMode val="edge"/>
          <c:x val="0.30007564128384068"/>
          <c:y val="0.18951442584387027"/>
          <c:w val="0.37842729819937881"/>
          <c:h val="6.11222021948938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r>
              <a:rPr lang="en-US" sz="1400" b="0">
                <a:latin typeface="+mj-lt"/>
              </a:rPr>
              <a:t>apparition des arguments ANTI dans les articles</a:t>
            </a: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endParaRPr lang="fr-FR"/>
        </a:p>
      </c:txPr>
    </c:title>
    <c:autoTitleDeleted val="0"/>
    <c:plotArea>
      <c:layout/>
      <c:barChart>
        <c:barDir val="col"/>
        <c:grouping val="stack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50000"/>
                </a:schemeClr>
              </a:solidFill>
              <a:ln>
                <a:noFill/>
              </a:ln>
              <a:effectLst/>
            </c:spPr>
          </c:dPt>
          <c:dPt>
            <c:idx val="1"/>
            <c:invertIfNegative val="0"/>
            <c:bubble3D val="0"/>
            <c:spPr>
              <a:solidFill>
                <a:schemeClr val="accent1">
                  <a:lumMod val="60000"/>
                  <a:lumOff val="40000"/>
                </a:schemeClr>
              </a:solidFill>
              <a:ln>
                <a:noFill/>
              </a:ln>
              <a:effectLst/>
            </c:spPr>
          </c:dPt>
          <c:dPt>
            <c:idx val="2"/>
            <c:invertIfNegative val="0"/>
            <c:bubble3D val="0"/>
            <c:spPr>
              <a:solidFill>
                <a:schemeClr val="accent1">
                  <a:lumMod val="75000"/>
                </a:schemeClr>
              </a:solidFill>
              <a:ln>
                <a:noFill/>
              </a:ln>
              <a:effectLst/>
            </c:spPr>
          </c:dPt>
          <c:dPt>
            <c:idx val="3"/>
            <c:invertIfNegative val="0"/>
            <c:bubble3D val="0"/>
            <c:spPr>
              <a:solidFill>
                <a:schemeClr val="accent1">
                  <a:lumMod val="60000"/>
                  <a:lumOff val="40000"/>
                </a:schemeClr>
              </a:solidFill>
              <a:ln>
                <a:noFill/>
              </a:ln>
              <a:effectLst/>
            </c:spPr>
          </c:dPt>
          <c:dPt>
            <c:idx val="4"/>
            <c:invertIfNegative val="0"/>
            <c:bubble3D val="0"/>
            <c:spPr>
              <a:solidFill>
                <a:schemeClr val="accent1">
                  <a:lumMod val="75000"/>
                </a:schemeClr>
              </a:solidFill>
              <a:ln>
                <a:noFill/>
              </a:ln>
              <a:effectLst/>
            </c:spPr>
          </c:dPt>
          <c:dPt>
            <c:idx val="5"/>
            <c:invertIfNegative val="0"/>
            <c:bubble3D val="0"/>
            <c:spPr>
              <a:solidFill>
                <a:schemeClr val="accent1">
                  <a:lumMod val="60000"/>
                  <a:lumOff val="40000"/>
                </a:schemeClr>
              </a:solidFill>
              <a:ln>
                <a:noFill/>
              </a:ln>
              <a:effectLst/>
            </c:spPr>
          </c:dPt>
          <c:dPt>
            <c:idx val="6"/>
            <c:invertIfNegative val="0"/>
            <c:bubble3D val="0"/>
            <c:spPr>
              <a:solidFill>
                <a:schemeClr val="accent1">
                  <a:lumMod val="40000"/>
                  <a:lumOff val="60000"/>
                </a:schemeClr>
              </a:solidFill>
              <a:ln>
                <a:noFill/>
              </a:ln>
              <a:effectLst/>
            </c:spPr>
          </c:dPt>
          <c:dPt>
            <c:idx val="7"/>
            <c:invertIfNegative val="0"/>
            <c:bubble3D val="0"/>
            <c:spPr>
              <a:solidFill>
                <a:schemeClr val="accent1">
                  <a:lumMod val="75000"/>
                </a:schemeClr>
              </a:solidFill>
              <a:ln>
                <a:noFill/>
              </a:ln>
              <a:effectLst/>
            </c:spPr>
          </c:dPt>
          <c:dPt>
            <c:idx val="8"/>
            <c:invertIfNegative val="0"/>
            <c:bubble3D val="0"/>
            <c:spPr>
              <a:solidFill>
                <a:schemeClr val="accent1">
                  <a:lumMod val="40000"/>
                  <a:lumOff val="60000"/>
                </a:schemeClr>
              </a:solidFill>
              <a:ln>
                <a:noFill/>
              </a:ln>
              <a:effectLst/>
            </c:spPr>
          </c:dPt>
          <c:dPt>
            <c:idx val="9"/>
            <c:invertIfNegative val="0"/>
            <c:bubble3D val="0"/>
            <c:spPr>
              <a:solidFill>
                <a:schemeClr val="accent1">
                  <a:lumMod val="20000"/>
                  <a:lumOff val="80000"/>
                </a:schemeClr>
              </a:solidFill>
              <a:ln>
                <a:noFill/>
              </a:ln>
              <a:effectLst/>
            </c:spPr>
          </c:dPt>
          <c:dPt>
            <c:idx val="10"/>
            <c:invertIfNegative val="0"/>
            <c:bubble3D val="0"/>
            <c:spPr>
              <a:solidFill>
                <a:schemeClr val="accent1">
                  <a:lumMod val="40000"/>
                  <a:lumOff val="60000"/>
                </a:schemeClr>
              </a:solidFill>
              <a:ln>
                <a:noFill/>
              </a:ln>
              <a:effectLst/>
            </c:spPr>
          </c:dPt>
          <c:dPt>
            <c:idx val="11"/>
            <c:invertIfNegative val="0"/>
            <c:bubble3D val="0"/>
            <c:spPr>
              <a:solidFill>
                <a:schemeClr val="accent1">
                  <a:lumMod val="20000"/>
                  <a:lumOff val="80000"/>
                </a:schemeClr>
              </a:solidFill>
              <a:ln>
                <a:noFill/>
              </a:ln>
              <a:effectLst/>
            </c:spPr>
          </c:dPt>
          <c:dPt>
            <c:idx val="12"/>
            <c:invertIfNegative val="0"/>
            <c:bubble3D val="0"/>
            <c:spPr>
              <a:noFill/>
              <a:ln>
                <a:noFill/>
              </a:ln>
              <a:effectLst/>
            </c:spPr>
          </c:dPt>
          <c:cat>
            <c:strRef>
              <c:f>Feuil1!$E$222:$E$234</c:f>
              <c:strCache>
                <c:ptCount val="12"/>
                <c:pt idx="0">
                  <c:v>Cancérigène probable</c:v>
                </c:pt>
                <c:pt idx="1">
                  <c:v>Pétition</c:v>
                </c:pt>
                <c:pt idx="2">
                  <c:v>Lobbys manipulent</c:v>
                </c:pt>
                <c:pt idx="3">
                  <c:v>Monsanto Papers</c:v>
                </c:pt>
                <c:pt idx="4">
                  <c:v>Dangereux pour la santé</c:v>
                </c:pt>
                <c:pt idx="5">
                  <c:v>Environnement</c:v>
                </c:pt>
                <c:pt idx="6">
                  <c:v>Santé des agriculteurs</c:v>
                </c:pt>
                <c:pt idx="7">
                  <c:v>Principe de précaution</c:v>
                </c:pt>
                <c:pt idx="8">
                  <c:v>Agences corrompues</c:v>
                </c:pt>
                <c:pt idx="9">
                  <c:v>Monsanto racheté</c:v>
                </c:pt>
                <c:pt idx="10">
                  <c:v>Agences incompétentes</c:v>
                </c:pt>
                <c:pt idx="11">
                  <c:v>Des alternatives existent </c:v>
                </c:pt>
              </c:strCache>
            </c:strRef>
          </c:cat>
          <c:val>
            <c:numRef>
              <c:f>Feuil1!$G$222:$G$234</c:f>
              <c:numCache>
                <c:formatCode>0.00%</c:formatCode>
                <c:ptCount val="13"/>
                <c:pt idx="0">
                  <c:v>0.41975308641975306</c:v>
                </c:pt>
                <c:pt idx="1">
                  <c:v>0.14814814814814814</c:v>
                </c:pt>
                <c:pt idx="2">
                  <c:v>0.19753086419753085</c:v>
                </c:pt>
                <c:pt idx="3">
                  <c:v>0.16049382716049382</c:v>
                </c:pt>
                <c:pt idx="4">
                  <c:v>0.25925925925925924</c:v>
                </c:pt>
                <c:pt idx="5">
                  <c:v>0.16049382716049382</c:v>
                </c:pt>
                <c:pt idx="6">
                  <c:v>8.6419753086419748E-2</c:v>
                </c:pt>
                <c:pt idx="7">
                  <c:v>0.18518518518518517</c:v>
                </c:pt>
                <c:pt idx="8">
                  <c:v>7.407407407407407E-2</c:v>
                </c:pt>
                <c:pt idx="9">
                  <c:v>6.1728395061728392E-2</c:v>
                </c:pt>
                <c:pt idx="10">
                  <c:v>4.9382716049382713E-2</c:v>
                </c:pt>
                <c:pt idx="11">
                  <c:v>6.1728395061728392E-2</c:v>
                </c:pt>
                <c:pt idx="12" formatCode="0%">
                  <c:v>0.8</c:v>
                </c:pt>
              </c:numCache>
            </c:numRef>
          </c:val>
        </c:ser>
        <c:dLbls>
          <c:showLegendKey val="0"/>
          <c:showVal val="0"/>
          <c:showCatName val="0"/>
          <c:showSerName val="0"/>
          <c:showPercent val="0"/>
          <c:showBubbleSize val="0"/>
        </c:dLbls>
        <c:gapWidth val="0"/>
        <c:overlap val="94"/>
        <c:axId val="691998528"/>
        <c:axId val="691989280"/>
      </c:barChart>
      <c:catAx>
        <c:axId val="69199852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9280"/>
        <c:crosses val="autoZero"/>
        <c:auto val="1"/>
        <c:lblAlgn val="ctr"/>
        <c:lblOffset val="100"/>
        <c:noMultiLvlLbl val="0"/>
      </c:catAx>
      <c:valAx>
        <c:axId val="69198928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9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r>
              <a:rPr lang="en-US" sz="1400" b="0">
                <a:latin typeface="+mj-lt"/>
              </a:rPr>
              <a:t>AUDIENCE des arguments ANTI dans les articles</a:t>
            </a:r>
          </a:p>
          <a:p>
            <a:pPr>
              <a:defRPr>
                <a:latin typeface="+mj-lt"/>
              </a:defRPr>
            </a:pPr>
            <a:endParaRPr lang="en-US" sz="1400" b="0">
              <a:latin typeface="+mj-lt"/>
            </a:endParaRP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endParaRPr lang="fr-FR"/>
        </a:p>
      </c:txPr>
    </c:title>
    <c:autoTitleDeleted val="0"/>
    <c:plotArea>
      <c:layout/>
      <c:barChart>
        <c:barDir val="col"/>
        <c:grouping val="stack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50000"/>
                </a:schemeClr>
              </a:solidFill>
              <a:ln>
                <a:noFill/>
              </a:ln>
              <a:effectLst/>
            </c:spPr>
          </c:dPt>
          <c:dPt>
            <c:idx val="1"/>
            <c:invertIfNegative val="0"/>
            <c:bubble3D val="0"/>
            <c:spPr>
              <a:solidFill>
                <a:schemeClr val="accent1">
                  <a:lumMod val="75000"/>
                </a:schemeClr>
              </a:solidFill>
              <a:ln>
                <a:noFill/>
              </a:ln>
              <a:effectLst/>
            </c:spPr>
          </c:dPt>
          <c:dPt>
            <c:idx val="2"/>
            <c:invertIfNegative val="0"/>
            <c:bubble3D val="0"/>
            <c:spPr>
              <a:solidFill>
                <a:schemeClr val="accent1">
                  <a:lumMod val="40000"/>
                  <a:lumOff val="60000"/>
                </a:schemeClr>
              </a:solidFill>
              <a:ln>
                <a:noFill/>
              </a:ln>
              <a:effectLst/>
            </c:spPr>
          </c:dPt>
          <c:dPt>
            <c:idx val="3"/>
            <c:invertIfNegative val="0"/>
            <c:bubble3D val="0"/>
            <c:spPr>
              <a:solidFill>
                <a:schemeClr val="accent1">
                  <a:lumMod val="60000"/>
                  <a:lumOff val="40000"/>
                </a:schemeClr>
              </a:solidFill>
              <a:ln>
                <a:noFill/>
              </a:ln>
              <a:effectLst/>
            </c:spPr>
          </c:dPt>
          <c:dPt>
            <c:idx val="4"/>
            <c:invertIfNegative val="0"/>
            <c:bubble3D val="0"/>
            <c:spPr>
              <a:solidFill>
                <a:schemeClr val="accent1">
                  <a:lumMod val="40000"/>
                  <a:lumOff val="60000"/>
                </a:schemeClr>
              </a:solidFill>
              <a:ln>
                <a:noFill/>
              </a:ln>
              <a:effectLst/>
            </c:spPr>
          </c:dPt>
          <c:dPt>
            <c:idx val="5"/>
            <c:invertIfNegative val="0"/>
            <c:bubble3D val="0"/>
            <c:spPr>
              <a:solidFill>
                <a:schemeClr val="accent1">
                  <a:lumMod val="60000"/>
                  <a:lumOff val="40000"/>
                </a:schemeClr>
              </a:solidFill>
              <a:ln>
                <a:noFill/>
              </a:ln>
              <a:effectLst/>
            </c:spPr>
          </c:dPt>
          <c:dPt>
            <c:idx val="6"/>
            <c:invertIfNegative val="0"/>
            <c:bubble3D val="0"/>
            <c:spPr>
              <a:solidFill>
                <a:schemeClr val="accent1">
                  <a:lumMod val="40000"/>
                  <a:lumOff val="60000"/>
                </a:schemeClr>
              </a:solidFill>
              <a:ln>
                <a:noFill/>
              </a:ln>
              <a:effectLst/>
            </c:spPr>
          </c:dPt>
          <c:dPt>
            <c:idx val="7"/>
            <c:invertIfNegative val="0"/>
            <c:bubble3D val="0"/>
            <c:spPr>
              <a:solidFill>
                <a:schemeClr val="accent1">
                  <a:lumMod val="20000"/>
                  <a:lumOff val="80000"/>
                </a:schemeClr>
              </a:solidFill>
              <a:ln>
                <a:noFill/>
              </a:ln>
              <a:effectLst/>
            </c:spPr>
          </c:dPt>
          <c:dPt>
            <c:idx val="8"/>
            <c:invertIfNegative val="0"/>
            <c:bubble3D val="0"/>
            <c:spPr>
              <a:solidFill>
                <a:schemeClr val="accent1">
                  <a:lumMod val="40000"/>
                  <a:lumOff val="60000"/>
                </a:schemeClr>
              </a:solidFill>
              <a:ln>
                <a:noFill/>
              </a:ln>
              <a:effectLst/>
            </c:spPr>
          </c:dPt>
          <c:dPt>
            <c:idx val="9"/>
            <c:invertIfNegative val="0"/>
            <c:bubble3D val="0"/>
            <c:spPr>
              <a:solidFill>
                <a:schemeClr val="accent1">
                  <a:lumMod val="20000"/>
                  <a:lumOff val="80000"/>
                </a:schemeClr>
              </a:solidFill>
              <a:ln>
                <a:noFill/>
              </a:ln>
              <a:effectLst/>
            </c:spPr>
          </c:dPt>
          <c:dPt>
            <c:idx val="12"/>
            <c:invertIfNegative val="0"/>
            <c:bubble3D val="0"/>
            <c:spPr>
              <a:noFill/>
              <a:ln>
                <a:noFill/>
              </a:ln>
              <a:effectLst/>
            </c:spPr>
          </c:dPt>
          <c:cat>
            <c:strRef>
              <c:f>Feuil1!$E$222:$E$234</c:f>
              <c:strCache>
                <c:ptCount val="12"/>
                <c:pt idx="0">
                  <c:v>Cancérigène probable</c:v>
                </c:pt>
                <c:pt idx="1">
                  <c:v>Pétition</c:v>
                </c:pt>
                <c:pt idx="2">
                  <c:v>Lobbys manipulent</c:v>
                </c:pt>
                <c:pt idx="3">
                  <c:v>Monsanto Papers</c:v>
                </c:pt>
                <c:pt idx="4">
                  <c:v>Dangereux pour la santé</c:v>
                </c:pt>
                <c:pt idx="5">
                  <c:v>Environnement</c:v>
                </c:pt>
                <c:pt idx="6">
                  <c:v>Santé des agriculteurs</c:v>
                </c:pt>
                <c:pt idx="7">
                  <c:v>Principe de précaution</c:v>
                </c:pt>
                <c:pt idx="8">
                  <c:v>Agences corrompues</c:v>
                </c:pt>
                <c:pt idx="9">
                  <c:v>Monsanto racheté</c:v>
                </c:pt>
                <c:pt idx="10">
                  <c:v>Agences incompétentes</c:v>
                </c:pt>
                <c:pt idx="11">
                  <c:v>Des alternatives existent </c:v>
                </c:pt>
              </c:strCache>
            </c:strRef>
          </c:cat>
          <c:val>
            <c:numRef>
              <c:f>Feuil1!$H$222:$H$234</c:f>
              <c:numCache>
                <c:formatCode>0.00%</c:formatCode>
                <c:ptCount val="13"/>
                <c:pt idx="0">
                  <c:v>0.78239662891756645</c:v>
                </c:pt>
                <c:pt idx="1">
                  <c:v>0.44267579668159074</c:v>
                </c:pt>
                <c:pt idx="2">
                  <c:v>0.30717935212009478</c:v>
                </c:pt>
                <c:pt idx="3">
                  <c:v>0.30610481959441666</c:v>
                </c:pt>
                <c:pt idx="4">
                  <c:v>0.25906768501448513</c:v>
                </c:pt>
                <c:pt idx="5">
                  <c:v>0.24498288122201739</c:v>
                </c:pt>
                <c:pt idx="6">
                  <c:v>0.17405319989465368</c:v>
                </c:pt>
                <c:pt idx="7">
                  <c:v>0.17423228864893336</c:v>
                </c:pt>
                <c:pt idx="8">
                  <c:v>0.14622070055306821</c:v>
                </c:pt>
                <c:pt idx="9">
                  <c:v>5.8509349486436664E-2</c:v>
                </c:pt>
                <c:pt idx="10">
                  <c:v>4.0821701343165658E-2</c:v>
                </c:pt>
                <c:pt idx="11">
                  <c:v>1.2178035291019226E-2</c:v>
                </c:pt>
                <c:pt idx="12" formatCode="0%">
                  <c:v>0.8</c:v>
                </c:pt>
              </c:numCache>
            </c:numRef>
          </c:val>
        </c:ser>
        <c:dLbls>
          <c:showLegendKey val="0"/>
          <c:showVal val="0"/>
          <c:showCatName val="0"/>
          <c:showSerName val="0"/>
          <c:showPercent val="0"/>
          <c:showBubbleSize val="0"/>
        </c:dLbls>
        <c:gapWidth val="0"/>
        <c:overlap val="94"/>
        <c:axId val="692001248"/>
        <c:axId val="691995808"/>
      </c:barChart>
      <c:catAx>
        <c:axId val="69200124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95808"/>
        <c:crosses val="autoZero"/>
        <c:auto val="1"/>
        <c:lblAlgn val="ctr"/>
        <c:lblOffset val="100"/>
        <c:noMultiLvlLbl val="0"/>
      </c:catAx>
      <c:valAx>
        <c:axId val="69199580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200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r>
              <a:rPr lang="en-US" sz="1400" b="0">
                <a:latin typeface="+mj-lt"/>
              </a:rPr>
              <a:t>AUDIENCE des arguments PRO dans les articles </a:t>
            </a: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endParaRPr lang="fr-FR"/>
        </a:p>
      </c:txPr>
    </c:title>
    <c:autoTitleDeleted val="0"/>
    <c:plotArea>
      <c:layout/>
      <c:barChart>
        <c:barDir val="col"/>
        <c:grouping val="stack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60000"/>
                  <a:lumOff val="40000"/>
                </a:schemeClr>
              </a:solidFill>
              <a:ln>
                <a:noFill/>
              </a:ln>
              <a:effectLst/>
            </c:spPr>
          </c:dPt>
          <c:dPt>
            <c:idx val="1"/>
            <c:invertIfNegative val="0"/>
            <c:bubble3D val="0"/>
            <c:spPr>
              <a:solidFill>
                <a:schemeClr val="accent1">
                  <a:lumMod val="75000"/>
                </a:schemeClr>
              </a:solidFill>
              <a:ln>
                <a:noFill/>
              </a:ln>
              <a:effectLst/>
            </c:spPr>
          </c:dPt>
          <c:dPt>
            <c:idx val="2"/>
            <c:invertIfNegative val="0"/>
            <c:bubble3D val="0"/>
            <c:spPr>
              <a:solidFill>
                <a:schemeClr val="accent1">
                  <a:lumMod val="60000"/>
                  <a:lumOff val="40000"/>
                </a:schemeClr>
              </a:solidFill>
              <a:ln>
                <a:noFill/>
              </a:ln>
              <a:effectLst/>
            </c:spPr>
          </c:dPt>
          <c:dPt>
            <c:idx val="3"/>
            <c:invertIfNegative val="0"/>
            <c:bubble3D val="0"/>
            <c:spPr>
              <a:solidFill>
                <a:schemeClr val="accent1">
                  <a:lumMod val="75000"/>
                </a:schemeClr>
              </a:solidFill>
              <a:ln>
                <a:noFill/>
              </a:ln>
              <a:effectLst/>
            </c:spPr>
          </c:dPt>
          <c:dPt>
            <c:idx val="12"/>
            <c:invertIfNegative val="0"/>
            <c:bubble3D val="0"/>
            <c:spPr>
              <a:noFill/>
              <a:ln>
                <a:noFill/>
              </a:ln>
              <a:effectLst/>
            </c:spPr>
          </c:dPt>
          <c:cat>
            <c:strRef>
              <c:f>Feuil1!$E$236:$E$248</c:f>
              <c:strCache>
                <c:ptCount val="12"/>
                <c:pt idx="0">
                  <c:v>Interdiction coûteuse</c:v>
                </c:pt>
                <c:pt idx="1">
                  <c:v>Etude de l'AHS favorable</c:v>
                </c:pt>
                <c:pt idx="2">
                  <c:v>Concurrence déloyale </c:v>
                </c:pt>
                <c:pt idx="3">
                  <c:v>Pas d'alternative</c:v>
                </c:pt>
                <c:pt idx="4">
                  <c:v>Opposition idéologique</c:v>
                </c:pt>
                <c:pt idx="5">
                  <c:v>CO2 augmente</c:v>
                </c:pt>
                <c:pt idx="6">
                  <c:v>Préservation des sols</c:v>
                </c:pt>
                <c:pt idx="7">
                  <c:v>Augmentation pesticides</c:v>
                </c:pt>
                <c:pt idx="8">
                  <c:v>Rendements</c:v>
                </c:pt>
                <c:pt idx="9">
                  <c:v>Quantité pesticides</c:v>
                </c:pt>
                <c:pt idx="10">
                  <c:v>Pas de résidus nourriture</c:v>
                </c:pt>
                <c:pt idx="11">
                  <c:v>N'est pas cancérogène </c:v>
                </c:pt>
              </c:strCache>
            </c:strRef>
          </c:cat>
          <c:val>
            <c:numRef>
              <c:f>Feuil1!$H$236:$H$248</c:f>
              <c:numCache>
                <c:formatCode>0.00%</c:formatCode>
                <c:ptCount val="13"/>
                <c:pt idx="0">
                  <c:v>6.4861732947063475E-2</c:v>
                </c:pt>
                <c:pt idx="1">
                  <c:v>5.5075059257308399E-2</c:v>
                </c:pt>
                <c:pt idx="2">
                  <c:v>4.0853305240979722E-2</c:v>
                </c:pt>
                <c:pt idx="3">
                  <c:v>3.7703450092178036E-2</c:v>
                </c:pt>
                <c:pt idx="4">
                  <c:v>2.0331840927047668E-2</c:v>
                </c:pt>
                <c:pt idx="5">
                  <c:v>1.6212799578614694E-2</c:v>
                </c:pt>
                <c:pt idx="6">
                  <c:v>1.4232288648933368E-2</c:v>
                </c:pt>
                <c:pt idx="7">
                  <c:v>1.4095338425072426E-2</c:v>
                </c:pt>
                <c:pt idx="8">
                  <c:v>1.1893600210692652E-2</c:v>
                </c:pt>
                <c:pt idx="9">
                  <c:v>5.9731366868580457E-3</c:v>
                </c:pt>
                <c:pt idx="10">
                  <c:v>7.3742428232815378E-4</c:v>
                </c:pt>
                <c:pt idx="11">
                  <c:v>4.1085067158282856E-4</c:v>
                </c:pt>
                <c:pt idx="12" formatCode="0%">
                  <c:v>0.8</c:v>
                </c:pt>
              </c:numCache>
            </c:numRef>
          </c:val>
        </c:ser>
        <c:dLbls>
          <c:showLegendKey val="0"/>
          <c:showVal val="0"/>
          <c:showCatName val="0"/>
          <c:showSerName val="0"/>
          <c:showPercent val="0"/>
          <c:showBubbleSize val="0"/>
        </c:dLbls>
        <c:gapWidth val="0"/>
        <c:overlap val="94"/>
        <c:axId val="692001792"/>
        <c:axId val="691995264"/>
      </c:barChart>
      <c:catAx>
        <c:axId val="69200179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95264"/>
        <c:crosses val="autoZero"/>
        <c:auto val="1"/>
        <c:lblAlgn val="ctr"/>
        <c:lblOffset val="100"/>
        <c:noMultiLvlLbl val="0"/>
      </c:catAx>
      <c:valAx>
        <c:axId val="69199526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2001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r>
              <a:rPr lang="en-US" sz="1400" b="0">
                <a:latin typeface="+mj-lt"/>
              </a:rPr>
              <a:t>APPARITION</a:t>
            </a:r>
            <a:r>
              <a:rPr lang="en-US" sz="1400" b="0" baseline="0">
                <a:latin typeface="+mj-lt"/>
              </a:rPr>
              <a:t> DES ARGUMENTS PRO DANS LES ARTICLES</a:t>
            </a:r>
            <a:endParaRPr lang="en-US" sz="1400" b="0">
              <a:latin typeface="+mj-lt"/>
            </a:endParaRP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j-lt"/>
              <a:ea typeface="+mn-ea"/>
              <a:cs typeface="+mn-cs"/>
            </a:defRPr>
          </a:pPr>
          <a:endParaRPr lang="fr-FR"/>
        </a:p>
      </c:txPr>
    </c:title>
    <c:autoTitleDeleted val="0"/>
    <c:plotArea>
      <c:layout/>
      <c:barChart>
        <c:barDir val="col"/>
        <c:grouping val="stack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60000"/>
                  <a:lumOff val="40000"/>
                </a:schemeClr>
              </a:solidFill>
              <a:ln>
                <a:noFill/>
              </a:ln>
              <a:effectLst/>
            </c:spPr>
          </c:dPt>
          <c:dPt>
            <c:idx val="1"/>
            <c:invertIfNegative val="0"/>
            <c:bubble3D val="0"/>
            <c:spPr>
              <a:solidFill>
                <a:schemeClr val="accent1">
                  <a:lumMod val="75000"/>
                </a:schemeClr>
              </a:solidFill>
              <a:ln>
                <a:noFill/>
              </a:ln>
              <a:effectLst/>
            </c:spPr>
          </c:dPt>
          <c:dPt>
            <c:idx val="2"/>
            <c:invertIfNegative val="0"/>
            <c:bubble3D val="0"/>
            <c:spPr>
              <a:solidFill>
                <a:schemeClr val="accent1">
                  <a:lumMod val="60000"/>
                  <a:lumOff val="40000"/>
                </a:schemeClr>
              </a:solidFill>
              <a:ln>
                <a:noFill/>
              </a:ln>
              <a:effectLst/>
            </c:spPr>
          </c:dPt>
          <c:dPt>
            <c:idx val="3"/>
            <c:invertIfNegative val="0"/>
            <c:bubble3D val="0"/>
            <c:spPr>
              <a:solidFill>
                <a:schemeClr val="accent1">
                  <a:lumMod val="75000"/>
                </a:schemeClr>
              </a:solidFill>
              <a:ln>
                <a:noFill/>
              </a:ln>
              <a:effectLst/>
            </c:spPr>
          </c:dPt>
          <c:dPt>
            <c:idx val="5"/>
            <c:invertIfNegative val="0"/>
            <c:bubble3D val="0"/>
            <c:spPr>
              <a:solidFill>
                <a:schemeClr val="accent1">
                  <a:lumMod val="75000"/>
                </a:schemeClr>
              </a:solidFill>
              <a:ln>
                <a:noFill/>
              </a:ln>
              <a:effectLst/>
            </c:spPr>
          </c:dPt>
          <c:dPt>
            <c:idx val="7"/>
            <c:invertIfNegative val="0"/>
            <c:bubble3D val="0"/>
            <c:spPr>
              <a:solidFill>
                <a:schemeClr val="accent1">
                  <a:lumMod val="75000"/>
                </a:schemeClr>
              </a:solidFill>
              <a:ln>
                <a:noFill/>
              </a:ln>
              <a:effectLst/>
            </c:spPr>
          </c:dPt>
          <c:dPt>
            <c:idx val="12"/>
            <c:invertIfNegative val="0"/>
            <c:bubble3D val="0"/>
            <c:spPr>
              <a:noFill/>
              <a:ln>
                <a:noFill/>
              </a:ln>
              <a:effectLst/>
            </c:spPr>
          </c:dPt>
          <c:cat>
            <c:strRef>
              <c:f>Feuil1!$E$236:$E$248</c:f>
              <c:strCache>
                <c:ptCount val="12"/>
                <c:pt idx="0">
                  <c:v>Interdiction coûteuse</c:v>
                </c:pt>
                <c:pt idx="1">
                  <c:v>Etude de l'AHS favorable</c:v>
                </c:pt>
                <c:pt idx="2">
                  <c:v>Concurrence déloyale </c:v>
                </c:pt>
                <c:pt idx="3">
                  <c:v>Pas d'alternative</c:v>
                </c:pt>
                <c:pt idx="4">
                  <c:v>Opposition idéologique</c:v>
                </c:pt>
                <c:pt idx="5">
                  <c:v>CO2 augmente</c:v>
                </c:pt>
                <c:pt idx="6">
                  <c:v>Préservation des sols</c:v>
                </c:pt>
                <c:pt idx="7">
                  <c:v>Augmentation pesticides</c:v>
                </c:pt>
                <c:pt idx="8">
                  <c:v>Rendements</c:v>
                </c:pt>
                <c:pt idx="9">
                  <c:v>Quantité pesticides</c:v>
                </c:pt>
                <c:pt idx="10">
                  <c:v>Pas de résidus nourriture</c:v>
                </c:pt>
                <c:pt idx="11">
                  <c:v>N'est pas cancérogène </c:v>
                </c:pt>
              </c:strCache>
            </c:strRef>
          </c:cat>
          <c:val>
            <c:numRef>
              <c:f>Feuil1!$G$236:$G$248</c:f>
              <c:numCache>
                <c:formatCode>0.00%</c:formatCode>
                <c:ptCount val="13"/>
                <c:pt idx="0">
                  <c:v>0.12345679012345678</c:v>
                </c:pt>
                <c:pt idx="1">
                  <c:v>7.407407407407407E-2</c:v>
                </c:pt>
                <c:pt idx="2">
                  <c:v>0.16049382716049382</c:v>
                </c:pt>
                <c:pt idx="3">
                  <c:v>0.1111111111111111</c:v>
                </c:pt>
                <c:pt idx="4">
                  <c:v>8.6419753086419748E-2</c:v>
                </c:pt>
                <c:pt idx="5">
                  <c:v>3.7037037037037035E-2</c:v>
                </c:pt>
                <c:pt idx="6">
                  <c:v>2.4691358024691357E-2</c:v>
                </c:pt>
                <c:pt idx="7">
                  <c:v>2.4691358024691357E-2</c:v>
                </c:pt>
                <c:pt idx="8">
                  <c:v>2.4691358024691357E-2</c:v>
                </c:pt>
                <c:pt idx="9">
                  <c:v>1.2345679012345678E-2</c:v>
                </c:pt>
                <c:pt idx="10">
                  <c:v>1.2345679012345678E-2</c:v>
                </c:pt>
                <c:pt idx="11">
                  <c:v>1.2345679012345678E-2</c:v>
                </c:pt>
                <c:pt idx="12" formatCode="0%">
                  <c:v>0.8</c:v>
                </c:pt>
              </c:numCache>
            </c:numRef>
          </c:val>
        </c:ser>
        <c:dLbls>
          <c:showLegendKey val="0"/>
          <c:showVal val="0"/>
          <c:showCatName val="0"/>
          <c:showSerName val="0"/>
          <c:showPercent val="0"/>
          <c:showBubbleSize val="0"/>
        </c:dLbls>
        <c:gapWidth val="0"/>
        <c:overlap val="94"/>
        <c:axId val="691996352"/>
        <c:axId val="692000704"/>
      </c:barChart>
      <c:catAx>
        <c:axId val="69199635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2000704"/>
        <c:crosses val="autoZero"/>
        <c:auto val="1"/>
        <c:lblAlgn val="ctr"/>
        <c:lblOffset val="100"/>
        <c:noMultiLvlLbl val="0"/>
      </c:catAx>
      <c:valAx>
        <c:axId val="69200070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9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a:latin typeface="+mj-lt"/>
              </a:rPr>
              <a:t>Audience Facebook des articles(n=93738)</a:t>
            </a:r>
          </a:p>
        </c:rich>
      </c:tx>
      <c:layout>
        <c:manualLayout>
          <c:xMode val="edge"/>
          <c:yMode val="edge"/>
          <c:x val="0.13103455818022747"/>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70AD47"/>
              </a:solidFill>
              <a:ln w="0">
                <a:noFill/>
              </a:ln>
              <a:effectLst/>
            </c:spPr>
          </c:dPt>
          <c:dPt>
            <c:idx val="1"/>
            <c:bubble3D val="0"/>
            <c:spPr>
              <a:solidFill>
                <a:srgbClr val="A5A5A5"/>
              </a:solidFill>
              <a:ln w="19050">
                <a:noFill/>
              </a:ln>
              <a:effectLst/>
            </c:spPr>
          </c:dPt>
          <c:dPt>
            <c:idx val="2"/>
            <c:bubble3D val="0"/>
            <c:spPr>
              <a:solidFill>
                <a:srgbClr val="C00000"/>
              </a:solidFill>
              <a:ln w="19050">
                <a:noFill/>
              </a:ln>
              <a:effectLst/>
            </c:spPr>
          </c:dPt>
          <c:dLbls>
            <c:dLbl>
              <c:idx val="0"/>
              <c:layout>
                <c:manualLayout>
                  <c:x val="-2.2597112860892287E-2"/>
                  <c:y val="0.16563065033537475"/>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9.2024059492563426E-2"/>
                  <c:y val="0.18981663750364533"/>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Feuil1!$L$122:$L$124</c:f>
              <c:numCache>
                <c:formatCode>0.00%</c:formatCode>
                <c:ptCount val="3"/>
                <c:pt idx="0">
                  <c:v>3.4564424246303529E-2</c:v>
                </c:pt>
                <c:pt idx="1">
                  <c:v>0.12339712816573854</c:v>
                </c:pt>
                <c:pt idx="2">
                  <c:v>0.84203844758795787</c:v>
                </c:pt>
              </c:numCache>
            </c:numRef>
          </c:val>
        </c:ser>
        <c:ser>
          <c:idx val="1"/>
          <c:order val="1"/>
          <c:spPr>
            <a:solidFill>
              <a:srgbClr val="FFC000"/>
            </a:solidFill>
            <a:ln>
              <a:noFill/>
            </a:ln>
          </c:spPr>
          <c:dPt>
            <c:idx val="0"/>
            <c:bubble3D val="0"/>
            <c:spPr>
              <a:solidFill>
                <a:sysClr val="window" lastClr="FFFFFF">
                  <a:lumMod val="75000"/>
                </a:sysClr>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val>
            <c:numRef>
              <c:f>Feuil1!$G$128:$G$130</c:f>
              <c:numCache>
                <c:formatCode>0.00%</c:formatCode>
                <c:ptCount val="3"/>
                <c:pt idx="0">
                  <c:v>0.15</c:v>
                </c:pt>
                <c:pt idx="1">
                  <c:v>0.26250000000000001</c:v>
                </c:pt>
                <c:pt idx="2">
                  <c:v>0.58750000000000002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j-lt"/>
                <a:ea typeface="+mn-ea"/>
                <a:cs typeface="+mn-cs"/>
              </a:defRPr>
            </a:pPr>
            <a:r>
              <a:rPr lang="fr-FR" sz="2000">
                <a:latin typeface="+mj-lt"/>
              </a:rPr>
              <a:t>Répartition</a:t>
            </a:r>
            <a:r>
              <a:rPr lang="fr-FR" sz="2000" baseline="0">
                <a:latin typeface="+mj-lt"/>
              </a:rPr>
              <a:t> des arguments anti-glyphosate dans la presse par thématique</a:t>
            </a:r>
            <a:endParaRPr lang="fr-FR" sz="2000">
              <a:latin typeface="+mj-lt"/>
            </a:endParaRP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radarChart>
        <c:radarStyle val="filled"/>
        <c:varyColors val="0"/>
        <c:ser>
          <c:idx val="0"/>
          <c:order val="0"/>
          <c:spPr>
            <a:solidFill>
              <a:srgbClr val="C00000">
                <a:alpha val="50196"/>
              </a:srgbClr>
            </a:solidFill>
            <a:ln w="19050">
              <a:solidFill>
                <a:schemeClr val="tx2">
                  <a:lumMod val="75000"/>
                </a:schemeClr>
              </a:solidFill>
              <a:prstDash val="sysDash"/>
            </a:ln>
            <a:effectLst/>
          </c:spPr>
          <c:dLbls>
            <c:dLbl>
              <c:idx val="2"/>
              <c:layout>
                <c:manualLayout>
                  <c:x val="-2.7784967107630869E-3"/>
                  <c:y val="-9.93600645561004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419429493658586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Feuil1!$J$229:$J$233</c:f>
              <c:strCache>
                <c:ptCount val="5"/>
                <c:pt idx="0">
                  <c:v>démocratiques</c:v>
                </c:pt>
                <c:pt idx="1">
                  <c:v>écologiques</c:v>
                </c:pt>
                <c:pt idx="2">
                  <c:v>sanitaires</c:v>
                </c:pt>
                <c:pt idx="3">
                  <c:v>complotistes (+-)</c:v>
                </c:pt>
                <c:pt idx="4">
                  <c:v>techniques</c:v>
                </c:pt>
              </c:strCache>
            </c:strRef>
          </c:cat>
          <c:val>
            <c:numRef>
              <c:f>Feuil1!$L$229:$L$233</c:f>
              <c:numCache>
                <c:formatCode>0%</c:formatCode>
                <c:ptCount val="5"/>
                <c:pt idx="0">
                  <c:v>8.4507042253521125E-2</c:v>
                </c:pt>
                <c:pt idx="1">
                  <c:v>9.154929577464789E-2</c:v>
                </c:pt>
                <c:pt idx="2">
                  <c:v>0.54225352112676062</c:v>
                </c:pt>
                <c:pt idx="3">
                  <c:v>0.24647887323943662</c:v>
                </c:pt>
                <c:pt idx="4">
                  <c:v>3.5211267605633804E-2</c:v>
                </c:pt>
              </c:numCache>
            </c:numRef>
          </c:val>
        </c:ser>
        <c:dLbls>
          <c:showLegendKey val="0"/>
          <c:showVal val="0"/>
          <c:showCatName val="0"/>
          <c:showSerName val="0"/>
          <c:showPercent val="0"/>
          <c:showBubbleSize val="0"/>
        </c:dLbls>
        <c:axId val="691996896"/>
        <c:axId val="691987104"/>
      </c:radarChart>
      <c:catAx>
        <c:axId val="69199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crossAx val="691987104"/>
        <c:crosses val="autoZero"/>
        <c:auto val="1"/>
        <c:lblAlgn val="ctr"/>
        <c:lblOffset val="100"/>
        <c:noMultiLvlLbl val="0"/>
      </c:catAx>
      <c:valAx>
        <c:axId val="691987104"/>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691996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j-lt"/>
                <a:ea typeface="+mn-ea"/>
                <a:cs typeface="+mn-cs"/>
              </a:defRPr>
            </a:pPr>
            <a:r>
              <a:rPr lang="fr-FR" sz="2000">
                <a:latin typeface="+mj-lt"/>
              </a:rPr>
              <a:t>Répartition des arguments pro-glyphosate dans la presse par thématique</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radarChart>
        <c:radarStyle val="filled"/>
        <c:varyColors val="0"/>
        <c:ser>
          <c:idx val="0"/>
          <c:order val="0"/>
          <c:spPr>
            <a:solidFill>
              <a:srgbClr val="336600">
                <a:alpha val="60000"/>
              </a:srgbClr>
            </a:solidFill>
            <a:ln w="19050">
              <a:solidFill>
                <a:schemeClr val="tx2">
                  <a:lumMod val="75000"/>
                </a:schemeClr>
              </a:solidFill>
              <a:prstDash val="sysDash"/>
            </a:ln>
            <a:effectLst/>
          </c:spPr>
          <c:dLbls>
            <c:dLbl>
              <c:idx val="0"/>
              <c:layout>
                <c:manualLayout>
                  <c:x val="-4.9965880691269046E-2"/>
                  <c:y val="0.10322838078489034"/>
                </c:manualLayout>
              </c:layout>
              <c:spPr>
                <a:noFill/>
                <a:ln>
                  <a:noFill/>
                </a:ln>
                <a:effectLst/>
              </c:spPr>
              <c:txPr>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9834032841091449E-2"/>
                      <c:h val="9.3773784277068811E-2"/>
                    </c:manualLayout>
                  </c15:layout>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Feuil1!$J$236:$J$239</c:f>
              <c:strCache>
                <c:ptCount val="4"/>
                <c:pt idx="0">
                  <c:v>économiques</c:v>
                </c:pt>
                <c:pt idx="1">
                  <c:v>sanitaires</c:v>
                </c:pt>
                <c:pt idx="2">
                  <c:v>techniques</c:v>
                </c:pt>
                <c:pt idx="3">
                  <c:v>écologiques</c:v>
                </c:pt>
              </c:strCache>
            </c:strRef>
          </c:cat>
          <c:val>
            <c:numRef>
              <c:f>Feuil1!$L$236:$L$239</c:f>
              <c:numCache>
                <c:formatCode>0%</c:formatCode>
                <c:ptCount val="4"/>
                <c:pt idx="0">
                  <c:v>0.5</c:v>
                </c:pt>
                <c:pt idx="1">
                  <c:v>0.16</c:v>
                </c:pt>
                <c:pt idx="2">
                  <c:v>0.18</c:v>
                </c:pt>
                <c:pt idx="3">
                  <c:v>0.16</c:v>
                </c:pt>
              </c:numCache>
            </c:numRef>
          </c:val>
        </c:ser>
        <c:dLbls>
          <c:showLegendKey val="0"/>
          <c:showVal val="1"/>
          <c:showCatName val="0"/>
          <c:showSerName val="0"/>
          <c:showPercent val="0"/>
          <c:showBubbleSize val="0"/>
        </c:dLbls>
        <c:axId val="691994720"/>
        <c:axId val="691991456"/>
      </c:radarChart>
      <c:catAx>
        <c:axId val="69199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crossAx val="691991456"/>
        <c:crosses val="autoZero"/>
        <c:auto val="1"/>
        <c:lblAlgn val="ctr"/>
        <c:lblOffset val="100"/>
        <c:noMultiLvlLbl val="0"/>
      </c:catAx>
      <c:valAx>
        <c:axId val="691991456"/>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691994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a:latin typeface="+mj-lt"/>
              </a:rPr>
              <a:t>Articles</a:t>
            </a:r>
            <a:r>
              <a:rPr lang="en-US" baseline="0">
                <a:latin typeface="+mj-lt"/>
              </a:rPr>
              <a:t> citant un e</a:t>
            </a:r>
            <a:r>
              <a:rPr lang="en-US">
                <a:latin typeface="+mj-lt"/>
              </a:rPr>
              <a:t>xpert</a:t>
            </a:r>
          </a:p>
        </c:rich>
      </c:tx>
      <c:layout>
        <c:manualLayout>
          <c:xMode val="edge"/>
          <c:yMode val="edge"/>
          <c:x val="0.29492344706911638"/>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44546A">
                <a:lumMod val="60000"/>
                <a:lumOff val="40000"/>
              </a:srgbClr>
            </a:solidFill>
            <a:ln>
              <a:noFill/>
            </a:ln>
          </c:spPr>
          <c:dPt>
            <c:idx val="0"/>
            <c:bubble3D val="0"/>
            <c:spPr>
              <a:solidFill>
                <a:srgbClr val="44546A">
                  <a:lumMod val="75000"/>
                </a:srgbClr>
              </a:solidFill>
              <a:ln w="0">
                <a:noFill/>
              </a:ln>
              <a:effectLst/>
            </c:spPr>
          </c:dPt>
          <c:dPt>
            <c:idx val="1"/>
            <c:bubble3D val="0"/>
            <c:spPr>
              <a:solidFill>
                <a:srgbClr val="44546A">
                  <a:lumMod val="60000"/>
                  <a:lumOff val="40000"/>
                </a:srgbClr>
              </a:solidFill>
              <a:ln w="19050">
                <a:noFill/>
              </a:ln>
              <a:effectLst/>
            </c:spPr>
          </c:dPt>
          <c:dPt>
            <c:idx val="2"/>
            <c:bubble3D val="0"/>
            <c:spPr>
              <a:solidFill>
                <a:srgbClr val="44546A">
                  <a:lumMod val="60000"/>
                  <a:lumOff val="40000"/>
                </a:srgbClr>
              </a:solidFill>
              <a:ln w="19050">
                <a:noFill/>
              </a:ln>
              <a:effectLst/>
            </c:spPr>
          </c:dPt>
          <c:dLbls>
            <c:dLbl>
              <c:idx val="0"/>
              <c:layout>
                <c:manualLayout>
                  <c:x val="-4.2459317585301942E-2"/>
                  <c:y val="0.15270049577136191"/>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Feuil1!$G$277:$G$278</c:f>
              <c:numCache>
                <c:formatCode>0.00%</c:formatCode>
                <c:ptCount val="2"/>
                <c:pt idx="0">
                  <c:v>7.407407407407407E-2</c:v>
                </c:pt>
                <c:pt idx="1">
                  <c:v>0.92592592592592593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a:latin typeface="+mj-lt"/>
              </a:rPr>
              <a:t>Audience</a:t>
            </a:r>
            <a:r>
              <a:rPr lang="fr-FR" baseline="0">
                <a:latin typeface="+mj-lt"/>
              </a:rPr>
              <a:t> des articles citant un expert</a:t>
            </a:r>
            <a:endParaRPr lang="fr-FR">
              <a:latin typeface="+mj-lt"/>
            </a:endParaRPr>
          </a:p>
        </c:rich>
      </c:tx>
      <c:layout>
        <c:manualLayout>
          <c:xMode val="edge"/>
          <c:yMode val="edge"/>
          <c:x val="0.32547900262467189"/>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44546A">
                <a:lumMod val="60000"/>
                <a:lumOff val="40000"/>
              </a:srgbClr>
            </a:solidFill>
            <a:ln>
              <a:noFill/>
            </a:ln>
          </c:spPr>
          <c:dPt>
            <c:idx val="0"/>
            <c:bubble3D val="0"/>
            <c:spPr>
              <a:solidFill>
                <a:srgbClr val="44546A">
                  <a:lumMod val="75000"/>
                </a:srgbClr>
              </a:solidFill>
              <a:ln w="0">
                <a:noFill/>
              </a:ln>
              <a:effectLst/>
            </c:spPr>
          </c:dPt>
          <c:dPt>
            <c:idx val="1"/>
            <c:bubble3D val="0"/>
            <c:spPr>
              <a:solidFill>
                <a:srgbClr val="44546A">
                  <a:lumMod val="60000"/>
                  <a:lumOff val="40000"/>
                </a:srgbClr>
              </a:solidFill>
              <a:ln w="19050">
                <a:noFill/>
              </a:ln>
              <a:effectLst/>
            </c:spPr>
          </c:dPt>
          <c:dPt>
            <c:idx val="2"/>
            <c:bubble3D val="0"/>
            <c:spPr>
              <a:solidFill>
                <a:srgbClr val="44546A">
                  <a:lumMod val="60000"/>
                  <a:lumOff val="40000"/>
                </a:srgbClr>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Feuil1!$G$282:$G$283</c:f>
              <c:numCache>
                <c:formatCode>0.00%</c:formatCode>
                <c:ptCount val="2"/>
                <c:pt idx="0">
                  <c:v>2.8717408480379247E-2</c:v>
                </c:pt>
                <c:pt idx="1">
                  <c:v>0.97128259151962071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a:latin typeface="+mj-lt"/>
              </a:rPr>
              <a:t>Sources militantes par audience</a:t>
            </a:r>
          </a:p>
        </c:rich>
      </c:tx>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rgbClr val="C00000">
                <a:alpha val="85000"/>
              </a:srgbClr>
            </a:solidFill>
            <a:ln>
              <a:noFill/>
            </a:ln>
            <a:effectLst/>
          </c:spPr>
          <c:invertIfNegative val="0"/>
          <c:dPt>
            <c:idx val="10"/>
            <c:invertIfNegative val="0"/>
            <c:bubble3D val="0"/>
            <c:spPr>
              <a:solidFill>
                <a:srgbClr val="669900">
                  <a:alpha val="80000"/>
                </a:srgbClr>
              </a:solidFill>
              <a:ln>
                <a:noFill/>
              </a:ln>
              <a:effectLst/>
            </c:spPr>
          </c:dPt>
          <c:dPt>
            <c:idx val="11"/>
            <c:invertIfNegative val="0"/>
            <c:bubble3D val="0"/>
            <c:spPr>
              <a:solidFill>
                <a:srgbClr val="669900">
                  <a:alpha val="85000"/>
                </a:srgbClr>
              </a:solidFill>
              <a:ln>
                <a:noFill/>
              </a:ln>
              <a:effectLst/>
            </c:spPr>
          </c:dPt>
          <c:dPt>
            <c:idx val="12"/>
            <c:invertIfNegative val="0"/>
            <c:bubble3D val="0"/>
            <c:spPr>
              <a:solidFill>
                <a:srgbClr val="669900">
                  <a:alpha val="85000"/>
                </a:srgbClr>
              </a:solidFill>
              <a:ln>
                <a:noFill/>
              </a:ln>
              <a:effectLst/>
            </c:spPr>
          </c:dPt>
          <c:cat>
            <c:strRef>
              <c:f>(Feuil1!$E$297:$E$306,Feuil1!$E$310:$E$314)</c:f>
              <c:strCache>
                <c:ptCount val="15"/>
                <c:pt idx="0">
                  <c:v>Générations Futures</c:v>
                </c:pt>
                <c:pt idx="1">
                  <c:v>Ligue contre le Cancer</c:v>
                </c:pt>
                <c:pt idx="2">
                  <c:v>Foodwatch</c:v>
                </c:pt>
                <c:pt idx="3">
                  <c:v>Greenpeace</c:v>
                </c:pt>
                <c:pt idx="4">
                  <c:v>Friends of the Earth Europe</c:v>
                </c:pt>
                <c:pt idx="5">
                  <c:v>PS</c:v>
                </c:pt>
                <c:pt idx="6">
                  <c:v>EELV</c:v>
                </c:pt>
                <c:pt idx="7">
                  <c:v>José Bové</c:v>
                </c:pt>
                <c:pt idx="8">
                  <c:v>Confédération Paysanne</c:v>
                </c:pt>
                <c:pt idx="9">
                  <c:v>UICN</c:v>
                </c:pt>
                <c:pt idx="10">
                  <c:v>FNSEA</c:v>
                </c:pt>
                <c:pt idx="11">
                  <c:v>copa-cogeca</c:v>
                </c:pt>
                <c:pt idx="12">
                  <c:v>Monsanto</c:v>
                </c:pt>
                <c:pt idx="13">
                  <c:v>Glyphosate Task Force</c:v>
                </c:pt>
                <c:pt idx="14">
                  <c:v>Coordination rurale</c:v>
                </c:pt>
              </c:strCache>
            </c:strRef>
          </c:cat>
          <c:val>
            <c:numRef>
              <c:f>(Feuil1!$F$297:$F$306,Feuil1!$F$310:$F$314)</c:f>
              <c:numCache>
                <c:formatCode>General</c:formatCode>
                <c:ptCount val="15"/>
                <c:pt idx="0">
                  <c:v>18135</c:v>
                </c:pt>
                <c:pt idx="1">
                  <c:v>16802</c:v>
                </c:pt>
                <c:pt idx="2">
                  <c:v>16802</c:v>
                </c:pt>
                <c:pt idx="3">
                  <c:v>12804</c:v>
                </c:pt>
                <c:pt idx="4">
                  <c:v>7642</c:v>
                </c:pt>
                <c:pt idx="5">
                  <c:v>2940</c:v>
                </c:pt>
                <c:pt idx="6">
                  <c:v>2845</c:v>
                </c:pt>
                <c:pt idx="7">
                  <c:v>2548</c:v>
                </c:pt>
                <c:pt idx="8">
                  <c:v>782</c:v>
                </c:pt>
                <c:pt idx="9">
                  <c:v>19</c:v>
                </c:pt>
                <c:pt idx="10">
                  <c:v>12534</c:v>
                </c:pt>
                <c:pt idx="11">
                  <c:v>5244</c:v>
                </c:pt>
                <c:pt idx="12">
                  <c:v>750</c:v>
                </c:pt>
                <c:pt idx="13">
                  <c:v>30</c:v>
                </c:pt>
                <c:pt idx="14">
                  <c:v>8</c:v>
                </c:pt>
              </c:numCache>
            </c:numRef>
          </c:val>
        </c:ser>
        <c:dLbls>
          <c:showLegendKey val="0"/>
          <c:showVal val="0"/>
          <c:showCatName val="0"/>
          <c:showSerName val="0"/>
          <c:showPercent val="0"/>
          <c:showBubbleSize val="0"/>
        </c:dLbls>
        <c:gapWidth val="32"/>
        <c:overlap val="25"/>
        <c:axId val="692350384"/>
        <c:axId val="692351472"/>
      </c:barChart>
      <c:catAx>
        <c:axId val="692350384"/>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692351472"/>
        <c:crosses val="autoZero"/>
        <c:auto val="1"/>
        <c:lblAlgn val="ctr"/>
        <c:lblOffset val="100"/>
        <c:noMultiLvlLbl val="0"/>
      </c:catAx>
      <c:valAx>
        <c:axId val="692351472"/>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6923503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a:latin typeface="+mj-lt"/>
              </a:rPr>
              <a:t>Articles</a:t>
            </a:r>
            <a:r>
              <a:rPr lang="fr-FR" baseline="0">
                <a:latin typeface="+mj-lt"/>
              </a:rPr>
              <a:t> citant une source partisane</a:t>
            </a:r>
            <a:endParaRPr lang="fr-FR">
              <a:latin typeface="+mj-lt"/>
            </a:endParaRPr>
          </a:p>
        </c:rich>
      </c:tx>
      <c:layout>
        <c:manualLayout>
          <c:xMode val="edge"/>
          <c:yMode val="edge"/>
          <c:x val="0.21436789151356078"/>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44546A">
                <a:lumMod val="60000"/>
                <a:lumOff val="40000"/>
              </a:srgbClr>
            </a:solidFill>
            <a:ln>
              <a:noFill/>
            </a:ln>
          </c:spPr>
          <c:dPt>
            <c:idx val="0"/>
            <c:bubble3D val="0"/>
            <c:spPr>
              <a:solidFill>
                <a:srgbClr val="44546A">
                  <a:lumMod val="75000"/>
                </a:srgbClr>
              </a:solidFill>
              <a:ln w="0">
                <a:noFill/>
              </a:ln>
              <a:effectLst/>
            </c:spPr>
          </c:dPt>
          <c:dPt>
            <c:idx val="1"/>
            <c:bubble3D val="0"/>
            <c:spPr>
              <a:solidFill>
                <a:srgbClr val="44546A">
                  <a:lumMod val="60000"/>
                  <a:lumOff val="40000"/>
                </a:srgbClr>
              </a:solidFill>
              <a:ln w="19050">
                <a:noFill/>
              </a:ln>
              <a:effectLst/>
            </c:spPr>
          </c:dPt>
          <c:dPt>
            <c:idx val="2"/>
            <c:bubble3D val="0"/>
            <c:spPr>
              <a:solidFill>
                <a:srgbClr val="44546A">
                  <a:lumMod val="60000"/>
                  <a:lumOff val="40000"/>
                </a:srgbClr>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Feuil1!$G$289:$G$290</c:f>
              <c:numCache>
                <c:formatCode>0.00%</c:formatCode>
                <c:ptCount val="2"/>
                <c:pt idx="0">
                  <c:v>0.40740740740740738</c:v>
                </c:pt>
                <c:pt idx="1">
                  <c:v>0.59259259259259256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a:latin typeface="+mj-lt"/>
              </a:rPr>
              <a:t>Audience</a:t>
            </a:r>
            <a:r>
              <a:rPr lang="fr-FR" baseline="0">
                <a:latin typeface="+mj-lt"/>
              </a:rPr>
              <a:t> des articles citant  une source partisane</a:t>
            </a:r>
            <a:endParaRPr lang="fr-FR">
              <a:latin typeface="+mj-lt"/>
            </a:endParaRPr>
          </a:p>
        </c:rich>
      </c:tx>
      <c:layout>
        <c:manualLayout>
          <c:xMode val="edge"/>
          <c:yMode val="edge"/>
          <c:x val="0.11301377952755907"/>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44546A">
                <a:lumMod val="60000"/>
                <a:lumOff val="40000"/>
              </a:srgbClr>
            </a:solidFill>
            <a:ln>
              <a:noFill/>
            </a:ln>
          </c:spPr>
          <c:dPt>
            <c:idx val="0"/>
            <c:bubble3D val="0"/>
            <c:spPr>
              <a:solidFill>
                <a:srgbClr val="44546A">
                  <a:lumMod val="75000"/>
                </a:srgbClr>
              </a:solidFill>
              <a:ln w="0">
                <a:noFill/>
              </a:ln>
              <a:effectLst/>
            </c:spPr>
          </c:dPt>
          <c:dPt>
            <c:idx val="1"/>
            <c:bubble3D val="0"/>
            <c:spPr>
              <a:solidFill>
                <a:srgbClr val="44546A">
                  <a:lumMod val="60000"/>
                  <a:lumOff val="40000"/>
                </a:srgbClr>
              </a:solidFill>
              <a:ln w="19050">
                <a:noFill/>
              </a:ln>
              <a:effectLst/>
            </c:spPr>
          </c:dPt>
          <c:dPt>
            <c:idx val="2"/>
            <c:bubble3D val="0"/>
            <c:spPr>
              <a:solidFill>
                <a:srgbClr val="44546A">
                  <a:lumMod val="60000"/>
                  <a:lumOff val="40000"/>
                </a:srgbClr>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Feuil1!$G$294:$G$295</c:f>
              <c:numCache>
                <c:formatCode>0.00%</c:formatCode>
                <c:ptCount val="2"/>
                <c:pt idx="0">
                  <c:v>0.33031340531998948</c:v>
                </c:pt>
                <c:pt idx="1">
                  <c:v>0.66968659468001057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latin typeface="+mj-lt"/>
              </a:rPr>
              <a:t>S'inquiète</a:t>
            </a:r>
            <a:r>
              <a:rPr lang="fr-FR" baseline="0">
                <a:latin typeface="+mj-lt"/>
              </a:rPr>
              <a:t> pour les consommateurs VS s'inquiète pour les agriculteurs</a:t>
            </a:r>
            <a:endParaRPr lang="fr-FR">
              <a:latin typeface="+mj-lt"/>
            </a:endParaRPr>
          </a:p>
        </c:rich>
      </c:tx>
      <c:layout>
        <c:manualLayout>
          <c:xMode val="edge"/>
          <c:yMode val="edge"/>
          <c:x val="9.2145669291338578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Feuil1!$K$247:$K$248</c:f>
              <c:numCache>
                <c:formatCode>General</c:formatCode>
                <c:ptCount val="2"/>
                <c:pt idx="0">
                  <c:v>21</c:v>
                </c:pt>
                <c:pt idx="1">
                  <c:v>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latin typeface="+mj-lt"/>
              </a:rPr>
              <a:t>Danger</a:t>
            </a:r>
            <a:r>
              <a:rPr lang="fr-FR" baseline="0">
                <a:latin typeface="+mj-lt"/>
              </a:rPr>
              <a:t> pour la santé :</a:t>
            </a:r>
            <a:br>
              <a:rPr lang="fr-FR" baseline="0">
                <a:latin typeface="+mj-lt"/>
              </a:rPr>
            </a:br>
            <a:r>
              <a:rPr lang="fr-FR" baseline="0">
                <a:latin typeface="+mj-lt"/>
              </a:rPr>
              <a:t>articles alarmistes VS articles rassurants</a:t>
            </a:r>
            <a:endParaRPr lang="fr-FR">
              <a:latin typeface="+mj-lt"/>
            </a:endParaRPr>
          </a:p>
        </c:rich>
      </c:tx>
      <c:layout>
        <c:manualLayout>
          <c:xMode val="edge"/>
          <c:yMode val="edge"/>
          <c:x val="0.1810345581802274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C00000"/>
              </a:solidFill>
              <a:ln w="0">
                <a:noFill/>
              </a:ln>
              <a:effectLst/>
            </c:spPr>
          </c:dPt>
          <c:dPt>
            <c:idx val="1"/>
            <c:bubble3D val="0"/>
            <c:spPr>
              <a:solidFill>
                <a:srgbClr val="70AD47"/>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Feuil1!$K$249:$K$250</c:f>
              <c:numCache>
                <c:formatCode>General</c:formatCode>
                <c:ptCount val="2"/>
                <c:pt idx="0">
                  <c:v>43</c:v>
                </c:pt>
                <c:pt idx="1">
                  <c:v>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j-lt"/>
                <a:ea typeface="+mn-ea"/>
                <a:cs typeface="+mn-cs"/>
              </a:defRPr>
            </a:pPr>
            <a:r>
              <a:rPr lang="fr-FR" sz="1800" b="0" i="0" baseline="0">
                <a:effectLst/>
              </a:rPr>
              <a:t>Répartition des références scientifiques dans les articles</a:t>
            </a:r>
            <a:endParaRPr lang="fr-FR" sz="1800">
              <a:effectLst/>
            </a:endParaRPr>
          </a:p>
        </c:rich>
      </c:tx>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j-lt"/>
              <a:ea typeface="+mn-ea"/>
              <a:cs typeface="+mn-cs"/>
            </a:defRPr>
          </a:pPr>
          <a:endParaRPr lang="fr-FR"/>
        </a:p>
      </c:txPr>
    </c:title>
    <c:autoTitleDeleted val="0"/>
    <c:plotArea>
      <c:layout>
        <c:manualLayout>
          <c:layoutTarget val="inner"/>
          <c:xMode val="edge"/>
          <c:yMode val="edge"/>
          <c:x val="9.399006620007655E-2"/>
          <c:y val="0.28465542220903967"/>
          <c:w val="0.78276703422411109"/>
          <c:h val="0.55576359259850794"/>
        </c:manualLayout>
      </c:layout>
      <c:barChart>
        <c:barDir val="col"/>
        <c:grouping val="clustered"/>
        <c:varyColors val="0"/>
        <c:ser>
          <c:idx val="0"/>
          <c:order val="0"/>
          <c:tx>
            <c:v>Nombre d'articles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(Feuil1!$E$253,Feuil1!$E$257:$E$269)</c:f>
              <c:strCache>
                <c:ptCount val="14"/>
                <c:pt idx="0">
                  <c:v>CIRC (CONTRE)</c:v>
                </c:pt>
                <c:pt idx="1">
                  <c:v>EFSA (POUR)</c:v>
                </c:pt>
                <c:pt idx="2">
                  <c:v>ECHA (POUR)</c:v>
                </c:pt>
                <c:pt idx="3">
                  <c:v>Anses (POUR)</c:v>
                </c:pt>
                <c:pt idx="4">
                  <c:v>OMS/FAO (POUR)</c:v>
                </c:pt>
                <c:pt idx="5">
                  <c:v>BAuA (POUR)</c:v>
                </c:pt>
                <c:pt idx="6">
                  <c:v>BfR (POUR)</c:v>
                </c:pt>
                <c:pt idx="7">
                  <c:v>ARLA (POUR)</c:v>
                </c:pt>
                <c:pt idx="8">
                  <c:v>PMRA (POUR)</c:v>
                </c:pt>
                <c:pt idx="9">
                  <c:v>APVMA (POUR)</c:v>
                </c:pt>
                <c:pt idx="10">
                  <c:v>NZ EPA (POUR)</c:v>
                </c:pt>
                <c:pt idx="11">
                  <c:v>RDA (POUR)</c:v>
                </c:pt>
                <c:pt idx="12">
                  <c:v>FSC (POUR)</c:v>
                </c:pt>
                <c:pt idx="13">
                  <c:v>US EPA (POUR)</c:v>
                </c:pt>
              </c:strCache>
            </c:strRef>
          </c:cat>
          <c:val>
            <c:numRef>
              <c:f>(Feuil1!$F$253,Feuil1!$F$257:$F$269)</c:f>
              <c:numCache>
                <c:formatCode>General</c:formatCode>
                <c:ptCount val="14"/>
                <c:pt idx="0">
                  <c:v>30</c:v>
                </c:pt>
                <c:pt idx="1">
                  <c:v>11</c:v>
                </c:pt>
                <c:pt idx="2">
                  <c:v>10</c:v>
                </c:pt>
                <c:pt idx="3">
                  <c:v>1</c:v>
                </c:pt>
                <c:pt idx="4">
                  <c:v>1</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219"/>
        <c:overlap val="-27"/>
        <c:axId val="308138208"/>
        <c:axId val="308140928"/>
      </c:barChart>
      <c:lineChart>
        <c:grouping val="standard"/>
        <c:varyColors val="0"/>
        <c:ser>
          <c:idx val="1"/>
          <c:order val="1"/>
          <c:tx>
            <c:v>Audience</c:v>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(Feuil1!$E$253,Feuil1!$E$257:$E$269)</c:f>
              <c:strCache>
                <c:ptCount val="14"/>
                <c:pt idx="0">
                  <c:v>CIRC (CONTRE)</c:v>
                </c:pt>
                <c:pt idx="1">
                  <c:v>EFSA (POUR)</c:v>
                </c:pt>
                <c:pt idx="2">
                  <c:v>ECHA (POUR)</c:v>
                </c:pt>
                <c:pt idx="3">
                  <c:v>Anses (POUR)</c:v>
                </c:pt>
                <c:pt idx="4">
                  <c:v>OMS/FAO (POUR)</c:v>
                </c:pt>
                <c:pt idx="5">
                  <c:v>BAuA (POUR)</c:v>
                </c:pt>
                <c:pt idx="6">
                  <c:v>BfR (POUR)</c:v>
                </c:pt>
                <c:pt idx="7">
                  <c:v>ARLA (POUR)</c:v>
                </c:pt>
                <c:pt idx="8">
                  <c:v>PMRA (POUR)</c:v>
                </c:pt>
                <c:pt idx="9">
                  <c:v>APVMA (POUR)</c:v>
                </c:pt>
                <c:pt idx="10">
                  <c:v>NZ EPA (POUR)</c:v>
                </c:pt>
                <c:pt idx="11">
                  <c:v>RDA (POUR)</c:v>
                </c:pt>
                <c:pt idx="12">
                  <c:v>FSC (POUR)</c:v>
                </c:pt>
                <c:pt idx="13">
                  <c:v>US EPA (POUR)</c:v>
                </c:pt>
              </c:strCache>
            </c:strRef>
          </c:cat>
          <c:val>
            <c:numRef>
              <c:f>(Feuil1!$I$253,Feuil1!$I$257:$I$269)</c:f>
              <c:numCache>
                <c:formatCode>General</c:formatCode>
                <c:ptCount val="14"/>
                <c:pt idx="0">
                  <c:v>64581</c:v>
                </c:pt>
                <c:pt idx="1">
                  <c:v>28233</c:v>
                </c:pt>
                <c:pt idx="2">
                  <c:v>24666</c:v>
                </c:pt>
                <c:pt idx="3">
                  <c:v>567</c:v>
                </c:pt>
                <c:pt idx="4">
                  <c:v>80</c:v>
                </c:pt>
                <c:pt idx="5">
                  <c:v>0</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308136576"/>
        <c:axId val="308137664"/>
      </c:lineChart>
      <c:dateAx>
        <c:axId val="308138208"/>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8140928"/>
        <c:crosses val="autoZero"/>
        <c:auto val="0"/>
        <c:lblOffset val="100"/>
        <c:baseTimeUnit val="days"/>
        <c:majorUnit val="1"/>
      </c:dateAx>
      <c:valAx>
        <c:axId val="308140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NOMBRE D'ARTICLES</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8138208"/>
        <c:crosses val="autoZero"/>
        <c:crossBetween val="between"/>
      </c:valAx>
      <c:valAx>
        <c:axId val="308137664"/>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AUDIENCE</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8136576"/>
        <c:crosses val="max"/>
        <c:crossBetween val="between"/>
      </c:valAx>
      <c:dateAx>
        <c:axId val="308136576"/>
        <c:scaling>
          <c:orientation val="minMax"/>
        </c:scaling>
        <c:delete val="1"/>
        <c:axPos val="b"/>
        <c:numFmt formatCode="General" sourceLinked="1"/>
        <c:majorTickMark val="none"/>
        <c:minorTickMark val="none"/>
        <c:tickLblPos val="nextTo"/>
        <c:crossAx val="308137664"/>
        <c:crosses val="autoZero"/>
        <c:auto val="0"/>
        <c:lblOffset val="100"/>
        <c:baseTimeUnit val="days"/>
      </c:dateAx>
      <c:spPr>
        <a:noFill/>
        <a:ln>
          <a:noFill/>
        </a:ln>
        <a:effectLst/>
      </c:spPr>
    </c:plotArea>
    <c:legend>
      <c:legendPos val="b"/>
      <c:layout>
        <c:manualLayout>
          <c:xMode val="edge"/>
          <c:yMode val="edge"/>
          <c:x val="0.30007564128384068"/>
          <c:y val="0.18951442584387027"/>
          <c:w val="0.37842729819937881"/>
          <c:h val="6.11222021948938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a:latin typeface="+mj-lt"/>
              </a:rPr>
              <a:t>[JOURNAUX DE DROITE]</a:t>
            </a:r>
          </a:p>
          <a:p>
            <a:pPr>
              <a:defRPr>
                <a:latin typeface="+mj-lt"/>
              </a:defRPr>
            </a:pPr>
            <a:r>
              <a:rPr lang="fr-FR">
                <a:latin typeface="+mj-lt"/>
              </a:rPr>
              <a:t>Nombre</a:t>
            </a:r>
            <a:r>
              <a:rPr lang="fr-FR" baseline="0">
                <a:latin typeface="+mj-lt"/>
              </a:rPr>
              <a:t> d'articles (n=28)</a:t>
            </a:r>
          </a:p>
        </c:rich>
      </c:tx>
      <c:layout>
        <c:manualLayout>
          <c:xMode val="edge"/>
          <c:yMode val="edge"/>
          <c:x val="0.25063768827209376"/>
          <c:y val="1.85185781781175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70AD47"/>
              </a:solidFill>
              <a:ln w="0">
                <a:noFill/>
              </a:ln>
              <a:effectLst/>
            </c:spPr>
          </c:dPt>
          <c:dPt>
            <c:idx val="1"/>
            <c:bubble3D val="0"/>
            <c:spPr>
              <a:solidFill>
                <a:sysClr val="window" lastClr="FFFFFF">
                  <a:lumMod val="75000"/>
                </a:sysClr>
              </a:solidFill>
              <a:ln w="19050">
                <a:noFill/>
              </a:ln>
              <a:effectLst/>
            </c:spPr>
          </c:dPt>
          <c:dPt>
            <c:idx val="2"/>
            <c:bubble3D val="0"/>
            <c:spPr>
              <a:solidFill>
                <a:srgbClr val="C00000"/>
              </a:solidFill>
              <a:ln w="19050">
                <a:no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Feuil1!$G$154:$G$156</c:f>
              <c:numCache>
                <c:formatCode>0.00%</c:formatCode>
                <c:ptCount val="3"/>
                <c:pt idx="0">
                  <c:v>0.2857142857142857</c:v>
                </c:pt>
                <c:pt idx="1">
                  <c:v>0.5714285714285714</c:v>
                </c:pt>
                <c:pt idx="2">
                  <c:v>0.32142857142857145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b="0" i="0" baseline="0">
                <a:effectLst/>
                <a:latin typeface="+mj-lt"/>
              </a:rPr>
              <a:t>[JOURNAUX DE DROITE]</a:t>
            </a:r>
            <a:endParaRPr lang="fr-FR" sz="1400">
              <a:effectLst/>
              <a:latin typeface="+mj-lt"/>
            </a:endParaRPr>
          </a:p>
          <a:p>
            <a:pPr>
              <a:defRPr>
                <a:latin typeface="+mj-lt"/>
              </a:defRPr>
            </a:pPr>
            <a:r>
              <a:rPr lang="fr-FR" sz="1400" b="0" i="0" baseline="0">
                <a:effectLst/>
                <a:latin typeface="+mj-lt"/>
              </a:rPr>
              <a:t>Audience Facebook des articles (n=27706)</a:t>
            </a:r>
          </a:p>
        </c:rich>
      </c:tx>
      <c:layout>
        <c:manualLayout>
          <c:xMode val="edge"/>
          <c:yMode val="edge"/>
          <c:x val="0.1726940409520476"/>
          <c:y val="2.30556260114388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70AD47"/>
              </a:solidFill>
              <a:ln w="0">
                <a:noFill/>
              </a:ln>
              <a:effectLst/>
            </c:spPr>
          </c:dPt>
          <c:dPt>
            <c:idx val="1"/>
            <c:bubble3D val="0"/>
            <c:spPr>
              <a:solidFill>
                <a:sysClr val="window" lastClr="FFFFFF">
                  <a:lumMod val="75000"/>
                </a:sysClr>
              </a:solidFill>
              <a:ln w="19050">
                <a:noFill/>
              </a:ln>
              <a:effectLst/>
            </c:spPr>
          </c:dPt>
          <c:dPt>
            <c:idx val="2"/>
            <c:bubble3D val="0"/>
            <c:spPr>
              <a:solidFill>
                <a:srgbClr val="C00000"/>
              </a:solidFill>
              <a:ln w="19050">
                <a:noFill/>
              </a:ln>
              <a:effectLst/>
            </c:spPr>
          </c:dPt>
          <c:dLbls>
            <c:dLbl>
              <c:idx val="0"/>
              <c:layout>
                <c:manualLayout>
                  <c:x val="-8.4735564304461941E-2"/>
                  <c:y val="0.15753038686293633"/>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13442147856517936"/>
                  <c:y val="4.683675039644529E-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Feuil1!$L$154:$L$156</c:f>
              <c:numCache>
                <c:formatCode>0.00%</c:formatCode>
                <c:ptCount val="3"/>
                <c:pt idx="0">
                  <c:v>0.17443874972930051</c:v>
                </c:pt>
                <c:pt idx="1">
                  <c:v>0.11152818883996246</c:v>
                </c:pt>
                <c:pt idx="2">
                  <c:v>0.71403306143073697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b="0" i="0" baseline="0">
                <a:effectLst/>
                <a:latin typeface="+mj-lt"/>
              </a:rPr>
              <a:t>[JOURNAUX DE GAUCHE]</a:t>
            </a:r>
            <a:endParaRPr lang="fr-FR" sz="1400">
              <a:effectLst/>
              <a:latin typeface="+mj-lt"/>
            </a:endParaRPr>
          </a:p>
          <a:p>
            <a:pPr>
              <a:defRPr>
                <a:latin typeface="+mj-lt"/>
              </a:defRPr>
            </a:pPr>
            <a:r>
              <a:rPr lang="fr-FR" sz="1400" b="0" i="0" baseline="0">
                <a:effectLst/>
                <a:latin typeface="+mj-lt"/>
              </a:rPr>
              <a:t>Nombre d'articles (n=33)</a:t>
            </a:r>
            <a:endParaRPr lang="fr-FR" sz="1400">
              <a:effectLst/>
              <a:latin typeface="+mj-lt"/>
            </a:endParaRPr>
          </a:p>
        </c:rich>
      </c:tx>
      <c:layout>
        <c:manualLayout>
          <c:xMode val="edge"/>
          <c:yMode val="edge"/>
          <c:x val="0.25621766660683937"/>
          <c:y val="9.426458659820604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70AD47"/>
              </a:solidFill>
              <a:ln w="0">
                <a:noFill/>
              </a:ln>
              <a:effectLst/>
            </c:spPr>
          </c:dPt>
          <c:dPt>
            <c:idx val="1"/>
            <c:bubble3D val="0"/>
            <c:spPr>
              <a:solidFill>
                <a:sysClr val="window" lastClr="FFFFFF">
                  <a:lumMod val="75000"/>
                </a:sysClr>
              </a:solidFill>
              <a:ln w="19050">
                <a:noFill/>
              </a:ln>
              <a:effectLst/>
            </c:spPr>
          </c:dPt>
          <c:dPt>
            <c:idx val="2"/>
            <c:bubble3D val="0"/>
            <c:spPr>
              <a:solidFill>
                <a:srgbClr val="C00000"/>
              </a:solidFill>
              <a:ln w="19050">
                <a:noFill/>
              </a:ln>
              <a:effectLst/>
            </c:spPr>
          </c:dPt>
          <c:dLbls>
            <c:dLbl>
              <c:idx val="0"/>
              <c:layout>
                <c:manualLayout>
                  <c:x val="-2.8529945920343833E-2"/>
                  <c:y val="0.13092160511106354"/>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9.3974524103639087E-2"/>
                  <c:y val="0.14299193950800859"/>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Feuil1!$G$141:$G$143</c:f>
              <c:numCache>
                <c:formatCode>0.00%</c:formatCode>
                <c:ptCount val="3"/>
                <c:pt idx="0">
                  <c:v>3.0303030303030304E-2</c:v>
                </c:pt>
                <c:pt idx="1">
                  <c:v>0.15151515151515152</c:v>
                </c:pt>
                <c:pt idx="2">
                  <c:v>0.81818181818181823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b="0" i="0" baseline="0">
                <a:effectLst/>
                <a:latin typeface="+mj-lt"/>
              </a:rPr>
              <a:t>[JOURNAUX DE GAUCHE]</a:t>
            </a:r>
            <a:endParaRPr lang="fr-FR" sz="1400">
              <a:effectLst/>
              <a:latin typeface="+mj-lt"/>
            </a:endParaRPr>
          </a:p>
          <a:p>
            <a:pPr>
              <a:defRPr>
                <a:latin typeface="+mj-lt"/>
              </a:defRPr>
            </a:pPr>
            <a:r>
              <a:rPr lang="fr-FR" sz="1400" b="0" i="0" baseline="0">
                <a:effectLst/>
                <a:latin typeface="+mj-lt"/>
              </a:rPr>
              <a:t>Audience Facebook des articles (n=52837)</a:t>
            </a:r>
            <a:endParaRPr lang="fr-FR" sz="1400">
              <a:effectLst/>
              <a:latin typeface="+mj-lt"/>
            </a:endParaRPr>
          </a:p>
        </c:rich>
      </c:tx>
      <c:layout>
        <c:manualLayout>
          <c:xMode val="edge"/>
          <c:yMode val="edge"/>
          <c:x val="0.14768966573328665"/>
          <c:y val="2.3064647880568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70AD47"/>
              </a:solidFill>
              <a:ln w="0">
                <a:noFill/>
              </a:ln>
              <a:effectLst/>
            </c:spPr>
          </c:dPt>
          <c:dPt>
            <c:idx val="1"/>
            <c:bubble3D val="0"/>
            <c:spPr>
              <a:solidFill>
                <a:sysClr val="window" lastClr="FFFFFF">
                  <a:lumMod val="75000"/>
                </a:sysClr>
              </a:solidFill>
              <a:ln w="19050">
                <a:noFill/>
              </a:ln>
              <a:effectLst/>
            </c:spPr>
          </c:dPt>
          <c:dPt>
            <c:idx val="2"/>
            <c:bubble3D val="0"/>
            <c:spPr>
              <a:solidFill>
                <a:srgbClr val="C00000"/>
              </a:solidFill>
              <a:ln w="19050">
                <a:noFill/>
              </a:ln>
              <a:effectLst/>
            </c:spPr>
          </c:dPt>
          <c:dLbls>
            <c:dLbl>
              <c:idx val="0"/>
              <c:layout>
                <c:manualLayout>
                  <c:x val="-5.5165248475570394E-3"/>
                  <c:y val="0.12224956255468067"/>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7.1396581528315947E-2"/>
                  <c:y val="0.22238699329250505"/>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Feuil1!$L$141:$L$143</c:f>
              <c:numCache>
                <c:formatCode>0.00%</c:formatCode>
                <c:ptCount val="3"/>
                <c:pt idx="0">
                  <c:v>1.0731116452485947E-2</c:v>
                </c:pt>
                <c:pt idx="1">
                  <c:v>8.8214698033574956E-2</c:v>
                </c:pt>
                <c:pt idx="2">
                  <c:v>0.90105418551393912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fr-FR" sz="1400">
                <a:latin typeface="+mj-lt"/>
              </a:rPr>
              <a:t>Nombre d'articles selon le titre (n=81)</a:t>
            </a:r>
          </a:p>
        </c:rich>
      </c:tx>
      <c:layout>
        <c:manualLayout>
          <c:xMode val="edge"/>
          <c:yMode val="edge"/>
          <c:x val="0.21436789151356078"/>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3E7645"/>
              </a:solidFill>
              <a:ln w="0">
                <a:noFill/>
              </a:ln>
              <a:effectLst/>
            </c:spPr>
          </c:dPt>
          <c:dPt>
            <c:idx val="1"/>
            <c:bubble3D val="0"/>
            <c:spPr>
              <a:solidFill>
                <a:srgbClr val="70AD47"/>
              </a:solidFill>
              <a:ln w="19050">
                <a:noFill/>
              </a:ln>
              <a:effectLst/>
            </c:spPr>
          </c:dPt>
          <c:dPt>
            <c:idx val="2"/>
            <c:bubble3D val="0"/>
            <c:spPr>
              <a:solidFill>
                <a:sysClr val="window" lastClr="FFFFFF">
                  <a:lumMod val="75000"/>
                </a:sysClr>
              </a:solidFill>
              <a:ln w="19050">
                <a:noFill/>
              </a:ln>
              <a:effectLst/>
            </c:spPr>
          </c:dPt>
          <c:dPt>
            <c:idx val="3"/>
            <c:bubble3D val="0"/>
            <c:spPr>
              <a:solidFill>
                <a:srgbClr val="FFC000"/>
              </a:solidFill>
              <a:ln w="19050">
                <a:noFill/>
              </a:ln>
              <a:effectLst/>
            </c:spPr>
          </c:dPt>
          <c:dPt>
            <c:idx val="4"/>
            <c:bubble3D val="0"/>
            <c:spPr>
              <a:solidFill>
                <a:srgbClr val="C00000"/>
              </a:solidFill>
              <a:ln w="19050">
                <a:noFill/>
              </a:ln>
              <a:effectLst/>
            </c:spPr>
          </c:dPt>
          <c:dLbls>
            <c:dLbl>
              <c:idx val="0"/>
              <c:layout>
                <c:manualLayout>
                  <c:x val="-2.6959351960196002E-2"/>
                  <c:y val="0.16815981251254664"/>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6.2078255443735894E-2"/>
                  <c:y val="0.14929024496937879"/>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13280440654440587"/>
                  <c:y val="5.9201045172165755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7.8922353455818023E-2"/>
                  <c:y val="0.170272309711286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numRef>
              <c:f>(Feuil1!$G$178,Feuil1!$G$177,Feuil1!$G$175,Feuil1!$G$174,Feuil1!$G$176)</c:f>
              <c:numCache>
                <c:formatCode>0.00%</c:formatCode>
                <c:ptCount val="5"/>
                <c:pt idx="0">
                  <c:v>0.13580246913580246</c:v>
                </c:pt>
                <c:pt idx="1">
                  <c:v>0.13580246913580246</c:v>
                </c:pt>
                <c:pt idx="2">
                  <c:v>8.6419753086419748E-2</c:v>
                </c:pt>
                <c:pt idx="3">
                  <c:v>3.7037037037037035E-2</c:v>
                </c:pt>
                <c:pt idx="4">
                  <c:v>0.60493827160493829</c:v>
                </c:pt>
              </c:numCache>
            </c:numRef>
          </c:cat>
          <c:val>
            <c:numRef>
              <c:f>Feuil1!$G$174:$G$178</c:f>
              <c:numCache>
                <c:formatCode>0.00%</c:formatCode>
                <c:ptCount val="5"/>
                <c:pt idx="0">
                  <c:v>3.7037037037037035E-2</c:v>
                </c:pt>
                <c:pt idx="1">
                  <c:v>8.6419753086419748E-2</c:v>
                </c:pt>
                <c:pt idx="2">
                  <c:v>0.60493827160493829</c:v>
                </c:pt>
                <c:pt idx="3">
                  <c:v>0.13580246913580246</c:v>
                </c:pt>
                <c:pt idx="4">
                  <c:v>0.13580246913580246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1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a:latin typeface="+mj-lt"/>
              </a:rPr>
              <a:t>Audience Facebook selon le titre (n=93738)</a:t>
            </a:r>
          </a:p>
        </c:rich>
      </c:tx>
      <c:layout>
        <c:manualLayout>
          <c:xMode val="edge"/>
          <c:yMode val="edge"/>
          <c:x val="0.11173391426357308"/>
          <c:y val="2.30646396244022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fr-FR"/>
        </a:p>
      </c:txPr>
    </c:title>
    <c:autoTitleDeleted val="0"/>
    <c:plotArea>
      <c:layout/>
      <c:pieChart>
        <c:varyColors val="1"/>
        <c:ser>
          <c:idx val="0"/>
          <c:order val="0"/>
          <c:spPr>
            <a:solidFill>
              <a:srgbClr val="FFC000"/>
            </a:solidFill>
            <a:ln>
              <a:noFill/>
            </a:ln>
          </c:spPr>
          <c:dPt>
            <c:idx val="0"/>
            <c:bubble3D val="0"/>
            <c:spPr>
              <a:solidFill>
                <a:srgbClr val="3E7645"/>
              </a:solidFill>
              <a:ln w="0">
                <a:noFill/>
              </a:ln>
              <a:effectLst/>
            </c:spPr>
          </c:dPt>
          <c:dPt>
            <c:idx val="1"/>
            <c:bubble3D val="0"/>
            <c:spPr>
              <a:solidFill>
                <a:srgbClr val="70AD47"/>
              </a:solidFill>
              <a:ln w="19050">
                <a:noFill/>
              </a:ln>
              <a:effectLst/>
            </c:spPr>
          </c:dPt>
          <c:dPt>
            <c:idx val="2"/>
            <c:bubble3D val="0"/>
            <c:spPr>
              <a:solidFill>
                <a:sysClr val="window" lastClr="FFFFFF">
                  <a:lumMod val="75000"/>
                </a:sysClr>
              </a:solidFill>
              <a:ln w="19050">
                <a:noFill/>
              </a:ln>
              <a:effectLst/>
            </c:spPr>
          </c:dPt>
          <c:dPt>
            <c:idx val="3"/>
            <c:bubble3D val="0"/>
            <c:spPr>
              <a:solidFill>
                <a:srgbClr val="FFC000"/>
              </a:solidFill>
              <a:ln w="19050">
                <a:noFill/>
              </a:ln>
              <a:effectLst/>
            </c:spPr>
          </c:dPt>
          <c:dPt>
            <c:idx val="4"/>
            <c:bubble3D val="0"/>
            <c:spPr>
              <a:solidFill>
                <a:srgbClr val="C00000"/>
              </a:solidFill>
              <a:ln w="19050">
                <a:noFill/>
              </a:ln>
              <a:effectLst/>
            </c:spPr>
          </c:dPt>
          <c:dLbls>
            <c:dLbl>
              <c:idx val="0"/>
              <c:layout>
                <c:manualLayout>
                  <c:x val="-4.7629635108632331E-3"/>
                  <c:y val="0.15458634361360227"/>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0.18537660721945901"/>
                  <c:y val="-8.9741400695225321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14670037031412145"/>
                  <c:y val="1.3740472840582463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9.0044410558920082E-2"/>
                  <c:y val="0.1840608357142240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Feuil1!$K$174:$K$178</c:f>
              <c:numCache>
                <c:formatCode>0.00%</c:formatCode>
                <c:ptCount val="5"/>
                <c:pt idx="0">
                  <c:v>1.7434816960758492E-2</c:v>
                </c:pt>
                <c:pt idx="1">
                  <c:v>1.0534632604687912E-3</c:v>
                </c:pt>
                <c:pt idx="2">
                  <c:v>0.65487490123781933</c:v>
                </c:pt>
                <c:pt idx="3">
                  <c:v>0.19248880695285753</c:v>
                </c:pt>
                <c:pt idx="4">
                  <c:v>0.13414801158809586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fr-FR" sz="1400" b="0"/>
              <a:t>orientation</a:t>
            </a:r>
            <a:r>
              <a:rPr lang="fr-FR" sz="1400" b="0" baseline="0"/>
              <a:t> des articles par journal</a:t>
            </a:r>
            <a:endParaRPr lang="fr-FR" sz="1400" b="0"/>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spPr>
            <a:solidFill>
              <a:srgbClr val="408C3C"/>
            </a:solidFill>
            <a:ln>
              <a:noFill/>
            </a:ln>
            <a:effectLst/>
          </c:spPr>
          <c:invertIfNegative val="0"/>
          <c:cat>
            <c:strRef>
              <c:f>Feuil1!$E$160:$E$170</c:f>
              <c:strCache>
                <c:ptCount val="11"/>
                <c:pt idx="0">
                  <c:v>LE MONDE</c:v>
                </c:pt>
                <c:pt idx="1">
                  <c:v>HUFFINGTON POST</c:v>
                </c:pt>
                <c:pt idx="2">
                  <c:v>NOUVEL OBS</c:v>
                </c:pt>
                <c:pt idx="3">
                  <c:v>MARIANNE</c:v>
                </c:pt>
                <c:pt idx="4">
                  <c:v>LIBÉRATION</c:v>
                </c:pt>
                <c:pt idx="5">
                  <c:v>BFMTV</c:v>
                </c:pt>
                <c:pt idx="6">
                  <c:v>OUEST-FRANCE</c:v>
                </c:pt>
                <c:pt idx="7">
                  <c:v>LE PARISIEN</c:v>
                </c:pt>
                <c:pt idx="8">
                  <c:v>LE FIGARO</c:v>
                </c:pt>
                <c:pt idx="9">
                  <c:v>L'EXPRESS</c:v>
                </c:pt>
                <c:pt idx="10">
                  <c:v>LES ECHOS</c:v>
                </c:pt>
              </c:strCache>
            </c:strRef>
          </c:cat>
          <c:val>
            <c:numRef>
              <c:f>Feuil1!$G$160:$G$170</c:f>
              <c:numCache>
                <c:formatCode>0%</c:formatCode>
                <c:ptCount val="11"/>
                <c:pt idx="0">
                  <c:v>9.0909090909090912E-2</c:v>
                </c:pt>
                <c:pt idx="1">
                  <c:v>0</c:v>
                </c:pt>
                <c:pt idx="2">
                  <c:v>0</c:v>
                </c:pt>
                <c:pt idx="3">
                  <c:v>0</c:v>
                </c:pt>
                <c:pt idx="4">
                  <c:v>0</c:v>
                </c:pt>
                <c:pt idx="5">
                  <c:v>0.16666666666666666</c:v>
                </c:pt>
                <c:pt idx="6">
                  <c:v>0.1111111111111111</c:v>
                </c:pt>
                <c:pt idx="7">
                  <c:v>0.25</c:v>
                </c:pt>
                <c:pt idx="8">
                  <c:v>0.25</c:v>
                </c:pt>
                <c:pt idx="9">
                  <c:v>0.125</c:v>
                </c:pt>
                <c:pt idx="10">
                  <c:v>0.5</c:v>
                </c:pt>
              </c:numCache>
            </c:numRef>
          </c:val>
        </c:ser>
        <c:ser>
          <c:idx val="1"/>
          <c:order val="1"/>
          <c:spPr>
            <a:solidFill>
              <a:schemeClr val="accent3">
                <a:alpha val="70000"/>
              </a:schemeClr>
            </a:solidFill>
            <a:ln>
              <a:noFill/>
            </a:ln>
            <a:effectLst/>
          </c:spPr>
          <c:invertIfNegative val="0"/>
          <c:cat>
            <c:strRef>
              <c:f>Feuil1!$E$160:$E$170</c:f>
              <c:strCache>
                <c:ptCount val="11"/>
                <c:pt idx="0">
                  <c:v>LE MONDE</c:v>
                </c:pt>
                <c:pt idx="1">
                  <c:v>HUFFINGTON POST</c:v>
                </c:pt>
                <c:pt idx="2">
                  <c:v>NOUVEL OBS</c:v>
                </c:pt>
                <c:pt idx="3">
                  <c:v>MARIANNE</c:v>
                </c:pt>
                <c:pt idx="4">
                  <c:v>LIBÉRATION</c:v>
                </c:pt>
                <c:pt idx="5">
                  <c:v>BFMTV</c:v>
                </c:pt>
                <c:pt idx="6">
                  <c:v>OUEST-FRANCE</c:v>
                </c:pt>
                <c:pt idx="7">
                  <c:v>LE PARISIEN</c:v>
                </c:pt>
                <c:pt idx="8">
                  <c:v>LE FIGARO</c:v>
                </c:pt>
                <c:pt idx="9">
                  <c:v>L'EXPRESS</c:v>
                </c:pt>
                <c:pt idx="10">
                  <c:v>LES ECHOS</c:v>
                </c:pt>
              </c:strCache>
            </c:strRef>
          </c:cat>
          <c:val>
            <c:numRef>
              <c:f>Feuil1!$H$160:$H$170</c:f>
              <c:numCache>
                <c:formatCode>0%</c:formatCode>
                <c:ptCount val="11"/>
                <c:pt idx="0">
                  <c:v>0.27272727272727271</c:v>
                </c:pt>
                <c:pt idx="1">
                  <c:v>0.2</c:v>
                </c:pt>
                <c:pt idx="2">
                  <c:v>0</c:v>
                </c:pt>
                <c:pt idx="3">
                  <c:v>0.33333333333333331</c:v>
                </c:pt>
                <c:pt idx="4">
                  <c:v>0</c:v>
                </c:pt>
                <c:pt idx="5">
                  <c:v>0.16666666666666666</c:v>
                </c:pt>
                <c:pt idx="6">
                  <c:v>0.22222222222222221</c:v>
                </c:pt>
                <c:pt idx="7">
                  <c:v>0.5</c:v>
                </c:pt>
                <c:pt idx="8">
                  <c:v>0.41666666666666669</c:v>
                </c:pt>
                <c:pt idx="9">
                  <c:v>0.375</c:v>
                </c:pt>
                <c:pt idx="10">
                  <c:v>0.375</c:v>
                </c:pt>
              </c:numCache>
            </c:numRef>
          </c:val>
        </c:ser>
        <c:ser>
          <c:idx val="2"/>
          <c:order val="2"/>
          <c:spPr>
            <a:solidFill>
              <a:srgbClr val="C00000"/>
            </a:solidFill>
            <a:ln>
              <a:noFill/>
            </a:ln>
            <a:effectLst/>
          </c:spPr>
          <c:invertIfNegative val="0"/>
          <c:cat>
            <c:strRef>
              <c:f>Feuil1!$E$160:$E$170</c:f>
              <c:strCache>
                <c:ptCount val="11"/>
                <c:pt idx="0">
                  <c:v>LE MONDE</c:v>
                </c:pt>
                <c:pt idx="1">
                  <c:v>HUFFINGTON POST</c:v>
                </c:pt>
                <c:pt idx="2">
                  <c:v>NOUVEL OBS</c:v>
                </c:pt>
                <c:pt idx="3">
                  <c:v>MARIANNE</c:v>
                </c:pt>
                <c:pt idx="4">
                  <c:v>LIBÉRATION</c:v>
                </c:pt>
                <c:pt idx="5">
                  <c:v>BFMTV</c:v>
                </c:pt>
                <c:pt idx="6">
                  <c:v>OUEST-FRANCE</c:v>
                </c:pt>
                <c:pt idx="7">
                  <c:v>LE PARISIEN</c:v>
                </c:pt>
                <c:pt idx="8">
                  <c:v>LE FIGARO</c:v>
                </c:pt>
                <c:pt idx="9">
                  <c:v>L'EXPRESS</c:v>
                </c:pt>
                <c:pt idx="10">
                  <c:v>LES ECHOS</c:v>
                </c:pt>
              </c:strCache>
            </c:strRef>
          </c:cat>
          <c:val>
            <c:numRef>
              <c:f>Feuil1!$I$160:$I$170</c:f>
              <c:numCache>
                <c:formatCode>0%</c:formatCode>
                <c:ptCount val="11"/>
                <c:pt idx="0">
                  <c:v>0.63636363636363635</c:v>
                </c:pt>
                <c:pt idx="1">
                  <c:v>0.8</c:v>
                </c:pt>
                <c:pt idx="2">
                  <c:v>1</c:v>
                </c:pt>
                <c:pt idx="3">
                  <c:v>0.66666666666666663</c:v>
                </c:pt>
                <c:pt idx="4">
                  <c:v>1</c:v>
                </c:pt>
                <c:pt idx="5">
                  <c:v>0.66666666666666663</c:v>
                </c:pt>
                <c:pt idx="6">
                  <c:v>0.66666666666666663</c:v>
                </c:pt>
                <c:pt idx="7">
                  <c:v>0.25</c:v>
                </c:pt>
                <c:pt idx="8">
                  <c:v>0.33333333333333331</c:v>
                </c:pt>
                <c:pt idx="9">
                  <c:v>0.5</c:v>
                </c:pt>
                <c:pt idx="10">
                  <c:v>0.125</c:v>
                </c:pt>
              </c:numCache>
            </c:numRef>
          </c:val>
        </c:ser>
        <c:dLbls>
          <c:showLegendKey val="0"/>
          <c:showVal val="0"/>
          <c:showCatName val="0"/>
          <c:showSerName val="0"/>
          <c:showPercent val="0"/>
          <c:showBubbleSize val="0"/>
        </c:dLbls>
        <c:gapWidth val="50"/>
        <c:overlap val="100"/>
        <c:axId val="690979248"/>
        <c:axId val="690985776"/>
      </c:barChart>
      <c:catAx>
        <c:axId val="69097924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0985776"/>
        <c:crosses val="autoZero"/>
        <c:auto val="1"/>
        <c:lblAlgn val="ctr"/>
        <c:lblOffset val="100"/>
        <c:noMultiLvlLbl val="0"/>
      </c:catAx>
      <c:valAx>
        <c:axId val="690985776"/>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0979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12</xdr:col>
      <xdr:colOff>2799</xdr:colOff>
      <xdr:row>123</xdr:row>
      <xdr:rowOff>201025</xdr:rowOff>
    </xdr:from>
    <xdr:to>
      <xdr:col>15</xdr:col>
      <xdr:colOff>1470770</xdr:colOff>
      <xdr:row>133</xdr:row>
      <xdr:rowOff>36299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1394131</xdr:colOff>
      <xdr:row>123</xdr:row>
      <xdr:rowOff>233042</xdr:rowOff>
    </xdr:from>
    <xdr:to>
      <xdr:col>19</xdr:col>
      <xdr:colOff>374395</xdr:colOff>
      <xdr:row>133</xdr:row>
      <xdr:rowOff>68316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1183822</xdr:colOff>
      <xdr:row>144</xdr:row>
      <xdr:rowOff>77560</xdr:rowOff>
    </xdr:from>
    <xdr:to>
      <xdr:col>15</xdr:col>
      <xdr:colOff>1197429</xdr:colOff>
      <xdr:row>153</xdr:row>
      <xdr:rowOff>249010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1114184</xdr:colOff>
      <xdr:row>144</xdr:row>
      <xdr:rowOff>89567</xdr:rowOff>
    </xdr:from>
    <xdr:to>
      <xdr:col>19</xdr:col>
      <xdr:colOff>93648</xdr:colOff>
      <xdr:row>153</xdr:row>
      <xdr:rowOff>266620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1265464</xdr:colOff>
      <xdr:row>134</xdr:row>
      <xdr:rowOff>50346</xdr:rowOff>
    </xdr:from>
    <xdr:to>
      <xdr:col>15</xdr:col>
      <xdr:colOff>1279071</xdr:colOff>
      <xdr:row>143</xdr:row>
      <xdr:rowOff>221796</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1263864</xdr:colOff>
      <xdr:row>134</xdr:row>
      <xdr:rowOff>35138</xdr:rowOff>
    </xdr:from>
    <xdr:to>
      <xdr:col>19</xdr:col>
      <xdr:colOff>243328</xdr:colOff>
      <xdr:row>143</xdr:row>
      <xdr:rowOff>206588</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173</xdr:row>
      <xdr:rowOff>131989</xdr:rowOff>
    </xdr:from>
    <xdr:to>
      <xdr:col>15</xdr:col>
      <xdr:colOff>1455964</xdr:colOff>
      <xdr:row>183</xdr:row>
      <xdr:rowOff>17689</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926886</xdr:colOff>
      <xdr:row>173</xdr:row>
      <xdr:rowOff>160003</xdr:rowOff>
    </xdr:from>
    <xdr:to>
      <xdr:col>18</xdr:col>
      <xdr:colOff>1090172</xdr:colOff>
      <xdr:row>183</xdr:row>
      <xdr:rowOff>40100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235323</xdr:colOff>
      <xdr:row>159</xdr:row>
      <xdr:rowOff>186527</xdr:rowOff>
    </xdr:from>
    <xdr:to>
      <xdr:col>16</xdr:col>
      <xdr:colOff>188462</xdr:colOff>
      <xdr:row>169</xdr:row>
      <xdr:rowOff>13142</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1592035</xdr:colOff>
      <xdr:row>183</xdr:row>
      <xdr:rowOff>104774</xdr:rowOff>
    </xdr:from>
    <xdr:to>
      <xdr:col>11</xdr:col>
      <xdr:colOff>299357</xdr:colOff>
      <xdr:row>194</xdr:row>
      <xdr:rowOff>4081</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1768928</xdr:colOff>
      <xdr:row>194</xdr:row>
      <xdr:rowOff>240845</xdr:rowOff>
    </xdr:from>
    <xdr:to>
      <xdr:col>11</xdr:col>
      <xdr:colOff>476250</xdr:colOff>
      <xdr:row>206</xdr:row>
      <xdr:rowOff>194581</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394607</xdr:colOff>
      <xdr:row>194</xdr:row>
      <xdr:rowOff>145596</xdr:rowOff>
    </xdr:from>
    <xdr:to>
      <xdr:col>15</xdr:col>
      <xdr:colOff>408214</xdr:colOff>
      <xdr:row>206</xdr:row>
      <xdr:rowOff>99332</xdr:rowOff>
    </xdr:to>
    <xdr:graphicFrame macro="">
      <xdr:nvGraphicFramePr>
        <xdr:cNvPr id="16"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1782536</xdr:colOff>
      <xdr:row>206</xdr:row>
      <xdr:rowOff>227239</xdr:rowOff>
    </xdr:from>
    <xdr:to>
      <xdr:col>11</xdr:col>
      <xdr:colOff>489858</xdr:colOff>
      <xdr:row>218</xdr:row>
      <xdr:rowOff>58510</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489857</xdr:colOff>
      <xdr:row>207</xdr:row>
      <xdr:rowOff>91168</xdr:rowOff>
    </xdr:from>
    <xdr:to>
      <xdr:col>15</xdr:col>
      <xdr:colOff>503464</xdr:colOff>
      <xdr:row>218</xdr:row>
      <xdr:rowOff>167368</xdr:rowOff>
    </xdr:to>
    <xdr:graphicFrame macro="">
      <xdr:nvGraphicFramePr>
        <xdr:cNvPr id="18" name="Graphique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459441</xdr:colOff>
      <xdr:row>200</xdr:row>
      <xdr:rowOff>78441</xdr:rowOff>
    </xdr:from>
    <xdr:to>
      <xdr:col>19</xdr:col>
      <xdr:colOff>806822</xdr:colOff>
      <xdr:row>215</xdr:row>
      <xdr:rowOff>122143</xdr:rowOff>
    </xdr:to>
    <xdr:graphicFrame macro="">
      <xdr:nvGraphicFramePr>
        <xdr:cNvPr id="20" name="Graphique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1326252</xdr:colOff>
      <xdr:row>223</xdr:row>
      <xdr:rowOff>119028</xdr:rowOff>
    </xdr:from>
    <xdr:to>
      <xdr:col>19</xdr:col>
      <xdr:colOff>528675</xdr:colOff>
      <xdr:row>236</xdr:row>
      <xdr:rowOff>43863</xdr:rowOff>
    </xdr:to>
    <xdr:graphicFrame macro="">
      <xdr:nvGraphicFramePr>
        <xdr:cNvPr id="24" name="Graphique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1319850</xdr:colOff>
      <xdr:row>224</xdr:row>
      <xdr:rowOff>119028</xdr:rowOff>
    </xdr:from>
    <xdr:to>
      <xdr:col>15</xdr:col>
      <xdr:colOff>1347133</xdr:colOff>
      <xdr:row>236</xdr:row>
      <xdr:rowOff>57909</xdr:rowOff>
    </xdr:to>
    <xdr:graphicFrame macro="">
      <xdr:nvGraphicFramePr>
        <xdr:cNvPr id="25" name="Graphique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1309485</xdr:colOff>
      <xdr:row>236</xdr:row>
      <xdr:rowOff>58431</xdr:rowOff>
    </xdr:from>
    <xdr:to>
      <xdr:col>15</xdr:col>
      <xdr:colOff>1336768</xdr:colOff>
      <xdr:row>247</xdr:row>
      <xdr:rowOff>178207</xdr:rowOff>
    </xdr:to>
    <xdr:graphicFrame macro="">
      <xdr:nvGraphicFramePr>
        <xdr:cNvPr id="26"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1339902</xdr:colOff>
      <xdr:row>236</xdr:row>
      <xdr:rowOff>40821</xdr:rowOff>
    </xdr:from>
    <xdr:to>
      <xdr:col>19</xdr:col>
      <xdr:colOff>784730</xdr:colOff>
      <xdr:row>248</xdr:row>
      <xdr:rowOff>296557</xdr:rowOff>
    </xdr:to>
    <xdr:graphicFrame macro="">
      <xdr:nvGraphicFramePr>
        <xdr:cNvPr id="27"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847085</xdr:colOff>
      <xdr:row>218</xdr:row>
      <xdr:rowOff>23813</xdr:rowOff>
    </xdr:from>
    <xdr:to>
      <xdr:col>26</xdr:col>
      <xdr:colOff>391247</xdr:colOff>
      <xdr:row>236</xdr:row>
      <xdr:rowOff>41702</xdr:rowOff>
    </xdr:to>
    <xdr:graphicFrame macro="">
      <xdr:nvGraphicFramePr>
        <xdr:cNvPr id="28" name="Graphique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19</xdr:col>
      <xdr:colOff>1016933</xdr:colOff>
      <xdr:row>235</xdr:row>
      <xdr:rowOff>137293</xdr:rowOff>
    </xdr:from>
    <xdr:to>
      <xdr:col>26</xdr:col>
      <xdr:colOff>572545</xdr:colOff>
      <xdr:row>253</xdr:row>
      <xdr:rowOff>75199</xdr:rowOff>
    </xdr:to>
    <xdr:graphicFrame macro="">
      <xdr:nvGraphicFramePr>
        <xdr:cNvPr id="23"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33617</xdr:colOff>
      <xdr:row>270</xdr:row>
      <xdr:rowOff>124384</xdr:rowOff>
    </xdr:from>
    <xdr:to>
      <xdr:col>11</xdr:col>
      <xdr:colOff>1109382</xdr:colOff>
      <xdr:row>281</xdr:row>
      <xdr:rowOff>133349</xdr:rowOff>
    </xdr:to>
    <xdr:graphicFrame macro="">
      <xdr:nvGraphicFramePr>
        <xdr:cNvPr id="31" name="Graphique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145677</xdr:colOff>
      <xdr:row>271</xdr:row>
      <xdr:rowOff>57150</xdr:rowOff>
    </xdr:from>
    <xdr:to>
      <xdr:col>15</xdr:col>
      <xdr:colOff>179295</xdr:colOff>
      <xdr:row>282</xdr:row>
      <xdr:rowOff>10085</xdr:rowOff>
    </xdr:to>
    <xdr:graphicFrame macro="">
      <xdr:nvGraphicFramePr>
        <xdr:cNvPr id="32" name="Graphique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636772</xdr:colOff>
      <xdr:row>297</xdr:row>
      <xdr:rowOff>9785</xdr:rowOff>
    </xdr:from>
    <xdr:to>
      <xdr:col>15</xdr:col>
      <xdr:colOff>813954</xdr:colOff>
      <xdr:row>314</xdr:row>
      <xdr:rowOff>51955</xdr:rowOff>
    </xdr:to>
    <xdr:graphicFrame macro="">
      <xdr:nvGraphicFramePr>
        <xdr:cNvPr id="33" name="Graphique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51955</xdr:colOff>
      <xdr:row>282</xdr:row>
      <xdr:rowOff>143740</xdr:rowOff>
    </xdr:from>
    <xdr:to>
      <xdr:col>11</xdr:col>
      <xdr:colOff>1125682</xdr:colOff>
      <xdr:row>293</xdr:row>
      <xdr:rowOff>98713</xdr:rowOff>
    </xdr:to>
    <xdr:graphicFrame macro="">
      <xdr:nvGraphicFramePr>
        <xdr:cNvPr id="34" name="Graphique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519546</xdr:colOff>
      <xdr:row>282</xdr:row>
      <xdr:rowOff>109105</xdr:rowOff>
    </xdr:from>
    <xdr:to>
      <xdr:col>15</xdr:col>
      <xdr:colOff>554182</xdr:colOff>
      <xdr:row>293</xdr:row>
      <xdr:rowOff>64078</xdr:rowOff>
    </xdr:to>
    <xdr:graphicFrame macro="">
      <xdr:nvGraphicFramePr>
        <xdr:cNvPr id="35" name="Graphique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28</xdr:col>
      <xdr:colOff>625930</xdr:colOff>
      <xdr:row>225</xdr:row>
      <xdr:rowOff>166006</xdr:rowOff>
    </xdr:from>
    <xdr:to>
      <xdr:col>34</xdr:col>
      <xdr:colOff>605519</xdr:colOff>
      <xdr:row>237</xdr:row>
      <xdr:rowOff>44902</xdr:rowOff>
    </xdr:to>
    <xdr:graphicFrame macro="">
      <xdr:nvGraphicFramePr>
        <xdr:cNvPr id="36" name="Graphique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23</xdr:col>
      <xdr:colOff>193901</xdr:colOff>
      <xdr:row>237</xdr:row>
      <xdr:rowOff>33338</xdr:rowOff>
    </xdr:from>
    <xdr:to>
      <xdr:col>29</xdr:col>
      <xdr:colOff>173490</xdr:colOff>
      <xdr:row>248</xdr:row>
      <xdr:rowOff>163967</xdr:rowOff>
    </xdr:to>
    <xdr:graphicFrame macro="">
      <xdr:nvGraphicFramePr>
        <xdr:cNvPr id="37" name="Graphique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2219076</xdr:colOff>
      <xdr:row>250</xdr:row>
      <xdr:rowOff>16079</xdr:rowOff>
    </xdr:from>
    <xdr:to>
      <xdr:col>14</xdr:col>
      <xdr:colOff>561975</xdr:colOff>
      <xdr:row>271</xdr:row>
      <xdr:rowOff>66674</xdr:rowOff>
    </xdr:to>
    <xdr:graphicFrame macro="">
      <xdr:nvGraphicFramePr>
        <xdr:cNvPr id="38" name="Graphique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monde.fr/planete/article/2017/11/28/la-france-peut-elle-interdire-le-glyphosate-dans-trois-ans_5221736_3244.html" TargetMode="External"/><Relationship Id="rId13" Type="http://schemas.openxmlformats.org/officeDocument/2006/relationships/hyperlink" Target="http://www.lemonde.fr/planete/article/2017/11/27/dans-cinq-ans-se-reposera-la-question-d-un-renouvellement-de-la-licence-du-glyphosate_5221174_3244.html" TargetMode="External"/><Relationship Id="rId18" Type="http://schemas.openxmlformats.org/officeDocument/2006/relationships/hyperlink" Target="http://www.liberation.fr/planete/2017/11/27/comment-monsanto-s-est-mis-des-scientifiques-dans-la-poche_1612932" TargetMode="External"/><Relationship Id="rId26" Type="http://schemas.openxmlformats.org/officeDocument/2006/relationships/hyperlink" Target="https://www.ouest-france.fr/environnement/glyphosate/glyphosate-la-fnsea-sourit-les-ecologistes-s-insurgent-5407823" TargetMode="External"/><Relationship Id="rId3" Type="http://schemas.openxmlformats.org/officeDocument/2006/relationships/hyperlink" Target="http://www.lemonde.fr/planete/article/2017/11/27/ce-qu-il-faut-retenir-de-la-prolongation-de-la-licence-du-glyphosate-pour-cinq-ans_5221183_3244.html" TargetMode="External"/><Relationship Id="rId21" Type="http://schemas.openxmlformats.org/officeDocument/2006/relationships/hyperlink" Target="http://www.bfmtv.com/sante/glyphosate-autorise-cinq-ans-de-plus-des-ong-scandalisees-1313867.html" TargetMode="External"/><Relationship Id="rId7" Type="http://schemas.openxmlformats.org/officeDocument/2006/relationships/hyperlink" Target="http://www.lemonde.fr/planete/article/2017/11/28/quelles-sont-les-alternatives-au-glyphosate_5221693_3244.html" TargetMode="External"/><Relationship Id="rId12" Type="http://schemas.openxmlformats.org/officeDocument/2006/relationships/hyperlink" Target="https://tempsreel.nouvelobs.com/planete/20171127.OBS7858/glyphosate-l-ue-autorise-pour-5-ans-macron-veut-l-interdire-dans-3-ans-en-france.html" TargetMode="External"/><Relationship Id="rId17" Type="http://schemas.openxmlformats.org/officeDocument/2006/relationships/hyperlink" Target="https://www.marianne.net/politique/trois-lecons-que-devrait-retenir-macron-apres-la-claque-du-glyphosate" TargetMode="External"/><Relationship Id="rId25" Type="http://schemas.openxmlformats.org/officeDocument/2006/relationships/hyperlink" Target="http://www.lefigaro.fr/sciences/2017/11/27/01008-20171127ARTFIG00009-glyphosate-ultime-vote-des-etats-a-bruxelles.php" TargetMode="External"/><Relationship Id="rId2" Type="http://schemas.openxmlformats.org/officeDocument/2006/relationships/hyperlink" Target="http://www.lemonde.fr/planete/article/2017/11/27/le-renouvellement-de-l-autorisation-du-glyphosate-divise-le-gouvernement-allemand_5221154_3244.html" TargetMode="External"/><Relationship Id="rId16" Type="http://schemas.openxmlformats.org/officeDocument/2006/relationships/hyperlink" Target="https://tempsreel.nouvelobs.com/rue89/notre-epoque/20171128.OBS7908/glyphosate-et-maintenant-l-etude-qui-tombe-a-pic-pour-monsanto.html" TargetMode="External"/><Relationship Id="rId20" Type="http://schemas.openxmlformats.org/officeDocument/2006/relationships/hyperlink" Target="http://www.liberation.fr/direct/element/le-glyphosate-autorise-pour-cinq-ans-de-plus-dans-lunion-europeenne_74123/" TargetMode="External"/><Relationship Id="rId29" Type="http://schemas.openxmlformats.org/officeDocument/2006/relationships/hyperlink" Target="https://www.lesechos.fr/monde/europe/030946867173-glyphosate-les-dessous-de-la-volte-face-de-lallemagne-2133968.php" TargetMode="External"/><Relationship Id="rId1" Type="http://schemas.openxmlformats.org/officeDocument/2006/relationships/hyperlink" Target="http://www.lemonde.fr/europe/article/2017/11/29/en-allemagne-le-glyphosate-sera-au-c-ur-des-pourparlers-pour-la-formation-du-gouvernement_5222203_3214.html" TargetMode="External"/><Relationship Id="rId6" Type="http://schemas.openxmlformats.org/officeDocument/2006/relationships/hyperlink" Target="http://www.lemonde.fr/planete/article/2017/11/28/pour-la-fnsea-l-interdiction-du-glyphosate-reviendrait-a-poser-un-boulet-a-l-agriculture-francaise_5221632_3244.html" TargetMode="External"/><Relationship Id="rId11" Type="http://schemas.openxmlformats.org/officeDocument/2006/relationships/hyperlink" Target="http://www.lemonde.fr/planete/article/2017/11/27/le-renouvellement-de-l-autorisation-du-glyphosate-divise-le-gouvernement-allemand_5221154_3244.html" TargetMode="External"/><Relationship Id="rId24" Type="http://schemas.openxmlformats.org/officeDocument/2006/relationships/hyperlink" Target="http://www.leparisien.fr/societe/le-glyphosate-autorise-pour-cinq-ans-de-plus-dans-l-union-europeenne-27-11-2017-7418415.php" TargetMode="External"/><Relationship Id="rId32" Type="http://schemas.openxmlformats.org/officeDocument/2006/relationships/drawing" Target="../drawings/drawing1.xml"/><Relationship Id="rId5" Type="http://schemas.openxmlformats.org/officeDocument/2006/relationships/hyperlink" Target="http://www.lemonde.fr/les-decodeurs/article/2017/11/28/marine-le-pen-et-le-glyphosate-la-longue-serie-des-contradictions-du-fn-sur-l-ecologie_5221602_4355770.html" TargetMode="External"/><Relationship Id="rId15" Type="http://schemas.openxmlformats.org/officeDocument/2006/relationships/hyperlink" Target="https://www.marianne.net/societe/glyphosate-la-commission-europeenne-rouvre-les-vannes-pour-5-ans" TargetMode="External"/><Relationship Id="rId23" Type="http://schemas.openxmlformats.org/officeDocument/2006/relationships/hyperlink" Target="http://www.liberation.fr/planete/2017/11/27/glyphosate-macron-veut-une-interdiction-en-france-au-plus-tard-dans-trois-ans_1612872" TargetMode="External"/><Relationship Id="rId28" Type="http://schemas.openxmlformats.org/officeDocument/2006/relationships/hyperlink" Target="https://www.lexpress.fr/actualites/1/societe/glyphosate-de-la-difficulte-de-concilier-ecologie-et-economie_1964538.html" TargetMode="External"/><Relationship Id="rId10" Type="http://schemas.openxmlformats.org/officeDocument/2006/relationships/hyperlink" Target="http://www.lemonde.fr/international/article/2017/11/29/apres-son-revirement-surprise-sur-le-glyphosate-le-navire-allemagne-en-pilotage-automatique_5222170_3210.html?xtmc=glyphosate&amp;xtcr=4" TargetMode="External"/><Relationship Id="rId19" Type="http://schemas.openxmlformats.org/officeDocument/2006/relationships/hyperlink" Target="http://www.liberation.fr/planete/2017/11/27/glyphosate-l-ue-en-remet-pour-cinq-ans_1612936" TargetMode="External"/><Relationship Id="rId31" Type="http://schemas.openxmlformats.org/officeDocument/2006/relationships/printerSettings" Target="../printerSettings/printerSettings1.bin"/><Relationship Id="rId4" Type="http://schemas.openxmlformats.org/officeDocument/2006/relationships/hyperlink" Target="http://www.lemonde.fr/idees/article/2017/11/28/glyphosate-le-passage-en-force_5221457_3232.html" TargetMode="External"/><Relationship Id="rId9" Type="http://schemas.openxmlformats.org/officeDocument/2006/relationships/hyperlink" Target="http://www.lemonde.fr/planete/article/2017/11/29/glyphosate-angela-merkel-desavoue-le-vote-allemand_5221994_3244.html" TargetMode="External"/><Relationship Id="rId14" Type="http://schemas.openxmlformats.org/officeDocument/2006/relationships/hyperlink" Target="https://tempsreel.nouvelobs.com/politique/20171129.OBS7995/glyphosate-france-ou-allemagne-il-y-a-un-probleme-avec-les-ministres-de-l-agriculture.html" TargetMode="External"/><Relationship Id="rId22" Type="http://schemas.openxmlformats.org/officeDocument/2006/relationships/hyperlink" Target="https://www.ouest-france.fr/economie/le-glyphosate-autorise-pour-cinq-ans-de-plus-dans-l-ue-5407776" TargetMode="External"/><Relationship Id="rId27" Type="http://schemas.openxmlformats.org/officeDocument/2006/relationships/hyperlink" Target="http://www.lefigaro.fr/flash-actu/2017/11/27/97001-20171127FILWWW00270-glyphosate-la-france-a-fait-bande-a-part-fnsea.php" TargetMode="External"/><Relationship Id="rId30" Type="http://schemas.openxmlformats.org/officeDocument/2006/relationships/hyperlink" Target="https://www.ouest-france.fr/environnement/glyphosate/glyphosate-les-fabricants-d-herbicides-decus-par-la-decision-europeenne-5409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3"/>
  <sheetViews>
    <sheetView tabSelected="1" topLeftCell="G214" zoomScale="55" zoomScaleNormal="55" workbookViewId="0">
      <selection activeCell="D231" sqref="D231"/>
    </sheetView>
  </sheetViews>
  <sheetFormatPr baseColWidth="10" defaultRowHeight="15" x14ac:dyDescent="0.25"/>
  <cols>
    <col min="1" max="1" width="3.42578125" customWidth="1"/>
    <col min="2" max="2" width="3.7109375" customWidth="1"/>
    <col min="4" max="4" width="22.7109375" customWidth="1"/>
    <col min="5" max="5" width="57.5703125" customWidth="1"/>
    <col min="6" max="6" width="11.42578125" customWidth="1"/>
    <col min="7" max="8" width="13.85546875" customWidth="1"/>
    <col min="9" max="9" width="35.5703125" customWidth="1"/>
    <col min="10" max="10" width="36.42578125" customWidth="1"/>
    <col min="11" max="11" width="16" customWidth="1"/>
    <col min="12" max="12" width="21.5703125" customWidth="1"/>
    <col min="13" max="13" width="19.28515625" customWidth="1"/>
    <col min="14" max="14" width="14" customWidth="1"/>
    <col min="15" max="15" width="13.28515625" customWidth="1"/>
    <col min="16" max="17" width="22.85546875" customWidth="1"/>
    <col min="18" max="18" width="20.42578125" customWidth="1"/>
    <col min="19" max="20" width="17.7109375" customWidth="1"/>
    <col min="21" max="21" width="25" customWidth="1"/>
    <col min="22" max="22" width="27.42578125" customWidth="1"/>
    <col min="23" max="23" width="11.42578125" customWidth="1"/>
  </cols>
  <sheetData>
    <row r="1" spans="1:22" ht="29.25" customHeight="1" x14ac:dyDescent="0.25"/>
    <row r="2" spans="1:22" ht="29.25" customHeight="1" x14ac:dyDescent="0.25">
      <c r="C2" s="131"/>
    </row>
    <row r="3" spans="1:22" ht="29.25" customHeight="1" x14ac:dyDescent="0.25">
      <c r="C3" s="1"/>
      <c r="G3" s="1"/>
      <c r="H3" s="1"/>
      <c r="I3" s="1"/>
      <c r="J3" s="1"/>
      <c r="M3" s="1" t="s">
        <v>5</v>
      </c>
    </row>
    <row r="4" spans="1:22" ht="29.25" customHeight="1" thickBot="1" x14ac:dyDescent="0.3">
      <c r="N4" s="1"/>
    </row>
    <row r="5" spans="1:22" ht="29.25" customHeight="1" x14ac:dyDescent="0.25">
      <c r="C5" s="20" t="s">
        <v>4</v>
      </c>
      <c r="D5" s="20" t="s">
        <v>1</v>
      </c>
      <c r="E5" s="20" t="s">
        <v>70</v>
      </c>
      <c r="F5" s="20" t="s">
        <v>3</v>
      </c>
      <c r="G5" s="20" t="s">
        <v>2</v>
      </c>
      <c r="H5" s="20" t="s">
        <v>6</v>
      </c>
      <c r="I5" s="20" t="s">
        <v>25</v>
      </c>
      <c r="J5" s="20" t="s">
        <v>26</v>
      </c>
      <c r="K5" s="20" t="s">
        <v>19</v>
      </c>
      <c r="L5" s="20" t="s">
        <v>28</v>
      </c>
      <c r="M5" s="20" t="s">
        <v>27</v>
      </c>
      <c r="N5" s="20" t="s">
        <v>7</v>
      </c>
      <c r="P5" s="12" t="s">
        <v>29</v>
      </c>
      <c r="Q5" s="13" t="s">
        <v>30</v>
      </c>
      <c r="R5" s="11" t="s">
        <v>31</v>
      </c>
      <c r="S5" s="12" t="s">
        <v>32</v>
      </c>
      <c r="T5" s="13" t="s">
        <v>422</v>
      </c>
      <c r="U5" s="55" t="s">
        <v>115</v>
      </c>
      <c r="V5" s="3" t="s">
        <v>46</v>
      </c>
    </row>
    <row r="6" spans="1:22" ht="29.25" customHeight="1" x14ac:dyDescent="0.25">
      <c r="A6" s="8"/>
      <c r="C6" s="21">
        <v>43066</v>
      </c>
      <c r="D6" s="23" t="s">
        <v>0</v>
      </c>
      <c r="E6" s="24" t="s">
        <v>61</v>
      </c>
      <c r="F6" s="25" t="s">
        <v>14</v>
      </c>
      <c r="G6" s="6" t="s">
        <v>9</v>
      </c>
      <c r="H6" s="7" t="s">
        <v>11</v>
      </c>
      <c r="I6" s="27"/>
      <c r="J6" s="27" t="s">
        <v>62</v>
      </c>
      <c r="K6" s="27"/>
      <c r="L6" s="27"/>
      <c r="M6" s="28"/>
      <c r="N6" s="33">
        <v>281</v>
      </c>
      <c r="P6" s="16">
        <f>LEN(I6)-LEN(SUBSTITUTE(I6,",",""))</f>
        <v>0</v>
      </c>
      <c r="Q6" s="15">
        <f t="shared" ref="Q6" si="0">LEN(J6)-LEN(SUBSTITUTE(J6,",",""))</f>
        <v>2</v>
      </c>
      <c r="R6" s="18">
        <f t="shared" ref="R6" si="1">LEN(K6)-LEN(SUBSTITUTE(K6,",",""))</f>
        <v>0</v>
      </c>
      <c r="S6" s="16">
        <f t="shared" ref="S6" si="2">LEN(L6)-LEN(SUBSTITUTE(L6,",",""))</f>
        <v>0</v>
      </c>
      <c r="T6" s="15">
        <f t="shared" ref="T6" si="3">LEN(M6)-LEN(SUBSTITUTE(M6,",",""))</f>
        <v>0</v>
      </c>
      <c r="U6" s="54">
        <f>Q6/(SUM(P6,Q6))</f>
        <v>1</v>
      </c>
      <c r="V6" t="s">
        <v>63</v>
      </c>
    </row>
    <row r="7" spans="1:22" ht="29.25" customHeight="1" x14ac:dyDescent="0.25">
      <c r="C7" s="21">
        <v>43066</v>
      </c>
      <c r="D7" s="23" t="s">
        <v>0</v>
      </c>
      <c r="E7" s="24" t="s">
        <v>13</v>
      </c>
      <c r="F7" s="25" t="s">
        <v>14</v>
      </c>
      <c r="G7" s="6" t="s">
        <v>9</v>
      </c>
      <c r="H7" s="6" t="s">
        <v>9</v>
      </c>
      <c r="I7" s="27"/>
      <c r="J7" s="29"/>
      <c r="K7" s="27"/>
      <c r="L7" s="27"/>
      <c r="M7" s="28"/>
      <c r="N7" s="33">
        <v>564</v>
      </c>
      <c r="P7" s="16">
        <f>LEN(I7)-LEN(SUBSTITUTE(I7,",",""))</f>
        <v>0</v>
      </c>
      <c r="Q7" s="15">
        <f t="shared" ref="Q7:T7" si="4">LEN(J7)-LEN(SUBSTITUTE(J7,",",""))</f>
        <v>0</v>
      </c>
      <c r="R7" s="18">
        <f t="shared" si="4"/>
        <v>0</v>
      </c>
      <c r="S7" s="16">
        <f t="shared" si="4"/>
        <v>0</v>
      </c>
      <c r="T7" s="15">
        <f t="shared" si="4"/>
        <v>0</v>
      </c>
      <c r="U7" s="54"/>
    </row>
    <row r="8" spans="1:22" ht="29.25" customHeight="1" x14ac:dyDescent="0.25">
      <c r="C8" s="21">
        <v>43066</v>
      </c>
      <c r="D8" s="23" t="s">
        <v>0</v>
      </c>
      <c r="E8" s="24" t="s">
        <v>17</v>
      </c>
      <c r="F8" s="25" t="s">
        <v>16</v>
      </c>
      <c r="G8" s="6" t="s">
        <v>9</v>
      </c>
      <c r="H8" s="6" t="s">
        <v>9</v>
      </c>
      <c r="I8" s="27"/>
      <c r="J8" s="29"/>
      <c r="K8" s="27"/>
      <c r="L8" s="27"/>
      <c r="M8" s="30" t="s">
        <v>18</v>
      </c>
      <c r="N8" s="33">
        <v>453</v>
      </c>
      <c r="P8" s="16">
        <f t="shared" ref="P8" si="5">LEN(I8)-LEN(SUBSTITUTE(I8,",",""))</f>
        <v>0</v>
      </c>
      <c r="Q8" s="15">
        <f t="shared" ref="Q8" si="6">LEN(J8)-LEN(SUBSTITUTE(J8,",",""))</f>
        <v>0</v>
      </c>
      <c r="R8" s="14">
        <f t="shared" ref="R8" si="7">LEN(K8)-LEN(SUBSTITUTE(K8,",",""))</f>
        <v>0</v>
      </c>
      <c r="S8" s="16">
        <f t="shared" ref="S8" si="8">LEN(L8)-LEN(SUBSTITUTE(L8,",",""))</f>
        <v>0</v>
      </c>
      <c r="T8" s="15">
        <f t="shared" ref="T8" si="9">LEN(M8)-LEN(SUBSTITUTE(M8,",",""))</f>
        <v>3</v>
      </c>
      <c r="U8" s="54"/>
    </row>
    <row r="9" spans="1:22" ht="29.25" customHeight="1" x14ac:dyDescent="0.25">
      <c r="C9" s="21">
        <v>43066</v>
      </c>
      <c r="D9" s="23" t="s">
        <v>0</v>
      </c>
      <c r="E9" s="24" t="s">
        <v>65</v>
      </c>
      <c r="F9" s="25" t="s">
        <v>64</v>
      </c>
      <c r="G9" s="6" t="s">
        <v>9</v>
      </c>
      <c r="H9" s="9" t="s">
        <v>24</v>
      </c>
      <c r="I9" s="29" t="s">
        <v>40</v>
      </c>
      <c r="J9" s="29" t="s">
        <v>90</v>
      </c>
      <c r="K9" s="27" t="s">
        <v>12</v>
      </c>
      <c r="L9" s="27"/>
      <c r="M9" s="30" t="s">
        <v>12</v>
      </c>
      <c r="N9" s="33">
        <v>92</v>
      </c>
      <c r="P9" s="16">
        <f t="shared" ref="P9" si="10">LEN(I9)-LEN(SUBSTITUTE(I9,",",""))</f>
        <v>1</v>
      </c>
      <c r="Q9" s="15">
        <f t="shared" ref="Q9" si="11">LEN(J9)-LEN(SUBSTITUTE(J9,",",""))</f>
        <v>3</v>
      </c>
      <c r="R9" s="14">
        <f t="shared" ref="R9" si="12">LEN(K9)-LEN(SUBSTITUTE(K9,",",""))</f>
        <v>0</v>
      </c>
      <c r="S9" s="16">
        <f t="shared" ref="S9" si="13">LEN(L9)-LEN(SUBSTITUTE(L9,",",""))</f>
        <v>0</v>
      </c>
      <c r="T9" s="15">
        <f t="shared" ref="T9" si="14">LEN(M9)-LEN(SUBSTITUTE(M9,",",""))</f>
        <v>0</v>
      </c>
      <c r="U9" s="54">
        <f t="shared" ref="U9:U17" si="15">Q9/(SUM(P9,Q9))</f>
        <v>0.75</v>
      </c>
      <c r="V9" t="s">
        <v>83</v>
      </c>
    </row>
    <row r="10" spans="1:22" ht="29.25" customHeight="1" x14ac:dyDescent="0.25">
      <c r="C10" s="21">
        <v>43067</v>
      </c>
      <c r="D10" s="23" t="s">
        <v>0</v>
      </c>
      <c r="E10" s="24" t="s">
        <v>21</v>
      </c>
      <c r="F10" s="26" t="s">
        <v>20</v>
      </c>
      <c r="G10" s="7" t="s">
        <v>11</v>
      </c>
      <c r="H10" s="9" t="s">
        <v>24</v>
      </c>
      <c r="I10" s="29" t="s">
        <v>41</v>
      </c>
      <c r="J10" s="29" t="s">
        <v>23</v>
      </c>
      <c r="K10" s="29" t="s">
        <v>22</v>
      </c>
      <c r="L10" s="29"/>
      <c r="M10" s="29"/>
      <c r="N10" s="33">
        <v>3567</v>
      </c>
      <c r="P10" s="16">
        <f t="shared" ref="P10:T16" si="16">LEN(I10)-LEN(SUBSTITUTE(I10,",",""))</f>
        <v>1</v>
      </c>
      <c r="Q10" s="15">
        <f t="shared" si="16"/>
        <v>9</v>
      </c>
      <c r="R10" s="14">
        <f t="shared" si="16"/>
        <v>2</v>
      </c>
      <c r="S10" s="16">
        <f t="shared" si="16"/>
        <v>0</v>
      </c>
      <c r="T10" s="15">
        <f t="shared" si="16"/>
        <v>0</v>
      </c>
      <c r="U10" s="54">
        <f t="shared" si="15"/>
        <v>0.9</v>
      </c>
      <c r="V10" t="s">
        <v>84</v>
      </c>
    </row>
    <row r="11" spans="1:22" ht="29.25" customHeight="1" x14ac:dyDescent="0.25">
      <c r="C11" s="21">
        <v>43067</v>
      </c>
      <c r="D11" s="23" t="s">
        <v>0</v>
      </c>
      <c r="E11" s="24" t="s">
        <v>34</v>
      </c>
      <c r="F11" s="26" t="s">
        <v>33</v>
      </c>
      <c r="G11" s="6" t="s">
        <v>9</v>
      </c>
      <c r="H11" s="7" t="s">
        <v>11</v>
      </c>
      <c r="I11" s="29"/>
      <c r="J11" s="29" t="s">
        <v>35</v>
      </c>
      <c r="K11" s="29" t="s">
        <v>36</v>
      </c>
      <c r="L11" s="29"/>
      <c r="M11" s="29"/>
      <c r="N11" s="33">
        <v>621</v>
      </c>
      <c r="P11" s="16">
        <f t="shared" si="16"/>
        <v>0</v>
      </c>
      <c r="Q11" s="15">
        <f t="shared" si="16"/>
        <v>1</v>
      </c>
      <c r="R11" s="14">
        <f t="shared" si="16"/>
        <v>1</v>
      </c>
      <c r="S11" s="16">
        <f t="shared" si="16"/>
        <v>0</v>
      </c>
      <c r="T11" s="15">
        <f t="shared" si="16"/>
        <v>0</v>
      </c>
      <c r="U11" s="54">
        <f t="shared" si="15"/>
        <v>1</v>
      </c>
    </row>
    <row r="12" spans="1:22" ht="29.25" customHeight="1" x14ac:dyDescent="0.25">
      <c r="C12" s="21">
        <v>43067</v>
      </c>
      <c r="D12" s="23" t="s">
        <v>0</v>
      </c>
      <c r="E12" s="24" t="s">
        <v>38</v>
      </c>
      <c r="F12" s="26" t="s">
        <v>37</v>
      </c>
      <c r="G12" s="19" t="s">
        <v>39</v>
      </c>
      <c r="H12" s="19" t="s">
        <v>39</v>
      </c>
      <c r="I12" s="29" t="s">
        <v>126</v>
      </c>
      <c r="J12" s="29" t="s">
        <v>12</v>
      </c>
      <c r="K12" s="29" t="s">
        <v>42</v>
      </c>
      <c r="L12" s="29"/>
      <c r="M12" s="29" t="s">
        <v>409</v>
      </c>
      <c r="N12" s="33">
        <v>567</v>
      </c>
      <c r="P12" s="16">
        <f t="shared" si="16"/>
        <v>11</v>
      </c>
      <c r="Q12" s="15">
        <f t="shared" si="16"/>
        <v>0</v>
      </c>
      <c r="R12" s="14">
        <f t="shared" si="16"/>
        <v>4</v>
      </c>
      <c r="S12" s="16">
        <f t="shared" si="16"/>
        <v>0</v>
      </c>
      <c r="T12" s="15">
        <f t="shared" si="16"/>
        <v>0</v>
      </c>
      <c r="U12" s="54">
        <f t="shared" si="15"/>
        <v>0</v>
      </c>
    </row>
    <row r="13" spans="1:22" ht="29.25" customHeight="1" x14ac:dyDescent="0.25">
      <c r="C13" s="21">
        <v>43067</v>
      </c>
      <c r="D13" s="23" t="s">
        <v>0</v>
      </c>
      <c r="E13" s="24" t="s">
        <v>44</v>
      </c>
      <c r="F13" s="26" t="s">
        <v>43</v>
      </c>
      <c r="G13" s="6" t="s">
        <v>9</v>
      </c>
      <c r="H13" s="6" t="s">
        <v>9</v>
      </c>
      <c r="I13" s="29" t="s">
        <v>125</v>
      </c>
      <c r="J13" s="29" t="s">
        <v>52</v>
      </c>
      <c r="K13" s="29" t="s">
        <v>12</v>
      </c>
      <c r="L13" s="29" t="s">
        <v>45</v>
      </c>
      <c r="M13" s="29"/>
      <c r="N13" s="33">
        <v>784</v>
      </c>
      <c r="P13" s="16">
        <f t="shared" si="16"/>
        <v>2</v>
      </c>
      <c r="Q13" s="15">
        <f t="shared" si="16"/>
        <v>4</v>
      </c>
      <c r="R13" s="14">
        <f t="shared" si="16"/>
        <v>0</v>
      </c>
      <c r="S13" s="16">
        <f t="shared" si="16"/>
        <v>1</v>
      </c>
      <c r="T13" s="15">
        <f t="shared" si="16"/>
        <v>0</v>
      </c>
      <c r="U13" s="54">
        <f t="shared" si="15"/>
        <v>0.66666666666666663</v>
      </c>
      <c r="V13" t="s">
        <v>47</v>
      </c>
    </row>
    <row r="14" spans="1:22" ht="29.25" customHeight="1" x14ac:dyDescent="0.25">
      <c r="C14" s="21">
        <v>43067</v>
      </c>
      <c r="D14" s="23" t="s">
        <v>0</v>
      </c>
      <c r="E14" s="24" t="s">
        <v>49</v>
      </c>
      <c r="F14" s="26" t="s">
        <v>48</v>
      </c>
      <c r="G14" s="6" t="s">
        <v>9</v>
      </c>
      <c r="H14" s="9" t="s">
        <v>24</v>
      </c>
      <c r="I14" s="29" t="s">
        <v>51</v>
      </c>
      <c r="J14" s="29" t="s">
        <v>53</v>
      </c>
      <c r="K14" s="29" t="s">
        <v>50</v>
      </c>
      <c r="L14" s="29" t="s">
        <v>45</v>
      </c>
      <c r="M14" s="29" t="s">
        <v>410</v>
      </c>
      <c r="N14" s="33">
        <v>771</v>
      </c>
      <c r="P14" s="16">
        <f t="shared" si="16"/>
        <v>6</v>
      </c>
      <c r="Q14" s="15">
        <f t="shared" si="16"/>
        <v>8</v>
      </c>
      <c r="R14" s="14">
        <f t="shared" si="16"/>
        <v>3</v>
      </c>
      <c r="S14" s="16">
        <f t="shared" si="16"/>
        <v>1</v>
      </c>
      <c r="T14" s="15">
        <f t="shared" si="16"/>
        <v>3</v>
      </c>
      <c r="U14" s="54">
        <f t="shared" si="15"/>
        <v>0.5714285714285714</v>
      </c>
    </row>
    <row r="15" spans="1:22" ht="29.25" customHeight="1" x14ac:dyDescent="0.25">
      <c r="C15" s="21">
        <v>43068</v>
      </c>
      <c r="D15" s="23" t="s">
        <v>0</v>
      </c>
      <c r="E15" s="24" t="s">
        <v>55</v>
      </c>
      <c r="F15" s="26" t="s">
        <v>54</v>
      </c>
      <c r="G15" s="6" t="s">
        <v>9</v>
      </c>
      <c r="H15" s="3" t="s">
        <v>57</v>
      </c>
      <c r="I15" s="29"/>
      <c r="J15" s="29" t="s">
        <v>56</v>
      </c>
      <c r="K15" s="29"/>
      <c r="L15" s="29"/>
      <c r="M15" s="29" t="s">
        <v>12</v>
      </c>
      <c r="N15" s="33">
        <v>1187</v>
      </c>
      <c r="P15" s="16">
        <f t="shared" si="16"/>
        <v>0</v>
      </c>
      <c r="Q15" s="15">
        <f t="shared" si="16"/>
        <v>1</v>
      </c>
      <c r="R15" s="14">
        <f t="shared" si="16"/>
        <v>0</v>
      </c>
      <c r="S15" s="16">
        <f t="shared" si="16"/>
        <v>0</v>
      </c>
      <c r="T15" s="15">
        <f t="shared" si="16"/>
        <v>0</v>
      </c>
      <c r="U15" s="54">
        <f t="shared" si="15"/>
        <v>1</v>
      </c>
    </row>
    <row r="16" spans="1:22" ht="29.25" customHeight="1" x14ac:dyDescent="0.25">
      <c r="C16" s="21">
        <v>43068</v>
      </c>
      <c r="D16" s="23" t="s">
        <v>0</v>
      </c>
      <c r="E16" s="24" t="s">
        <v>15</v>
      </c>
      <c r="F16" s="25" t="s">
        <v>8</v>
      </c>
      <c r="G16" s="6" t="s">
        <v>9</v>
      </c>
      <c r="H16" s="7" t="s">
        <v>11</v>
      </c>
      <c r="I16" s="27"/>
      <c r="J16" s="27" t="s">
        <v>10</v>
      </c>
      <c r="K16" s="27"/>
      <c r="L16" s="27"/>
      <c r="M16" s="27"/>
      <c r="N16" s="33">
        <v>183</v>
      </c>
      <c r="P16" s="16">
        <f t="shared" si="16"/>
        <v>0</v>
      </c>
      <c r="Q16" s="15">
        <f t="shared" si="16"/>
        <v>1</v>
      </c>
      <c r="R16" s="14">
        <f t="shared" si="16"/>
        <v>0</v>
      </c>
      <c r="S16" s="16">
        <f t="shared" si="16"/>
        <v>0</v>
      </c>
      <c r="T16" s="15">
        <f t="shared" si="16"/>
        <v>0</v>
      </c>
      <c r="U16" s="54">
        <f t="shared" si="15"/>
        <v>1</v>
      </c>
    </row>
    <row r="17" spans="1:23" ht="29.25" customHeight="1" x14ac:dyDescent="0.25">
      <c r="C17" s="21">
        <v>43068</v>
      </c>
      <c r="D17" s="23" t="s">
        <v>0</v>
      </c>
      <c r="E17" s="24" t="s">
        <v>58</v>
      </c>
      <c r="F17" s="25" t="s">
        <v>74</v>
      </c>
      <c r="G17" s="6" t="s">
        <v>9</v>
      </c>
      <c r="H17" s="7" t="s">
        <v>11</v>
      </c>
      <c r="I17" s="27"/>
      <c r="J17" s="27" t="s">
        <v>59</v>
      </c>
      <c r="K17" s="27"/>
      <c r="L17" s="27"/>
      <c r="M17" s="27"/>
      <c r="N17" s="33">
        <v>160</v>
      </c>
      <c r="P17" s="16">
        <f t="shared" ref="P17" si="17">LEN(I17)-LEN(SUBSTITUTE(I17,",",""))</f>
        <v>0</v>
      </c>
      <c r="Q17" s="15">
        <f t="shared" ref="Q17" si="18">LEN(J17)-LEN(SUBSTITUTE(J17,",",""))</f>
        <v>1</v>
      </c>
      <c r="R17" s="14">
        <f t="shared" ref="R17" si="19">LEN(K17)-LEN(SUBSTITUTE(K17,",",""))</f>
        <v>0</v>
      </c>
      <c r="S17" s="16">
        <f t="shared" ref="S17" si="20">LEN(L17)-LEN(SUBSTITUTE(L17,",",""))</f>
        <v>0</v>
      </c>
      <c r="T17" s="15">
        <f t="shared" ref="T17" si="21">LEN(M17)-LEN(SUBSTITUTE(M17,",",""))</f>
        <v>0</v>
      </c>
      <c r="U17" s="54">
        <f t="shared" si="15"/>
        <v>1</v>
      </c>
      <c r="V17" t="s">
        <v>60</v>
      </c>
    </row>
    <row r="18" spans="1:23" ht="29.25" customHeight="1" thickBot="1" x14ac:dyDescent="0.3">
      <c r="C18" s="22"/>
      <c r="F18" s="2"/>
      <c r="G18" s="132"/>
      <c r="O18" t="s">
        <v>71</v>
      </c>
      <c r="P18" s="45">
        <f>SUM(P6:P17)</f>
        <v>21</v>
      </c>
      <c r="Q18" s="46">
        <f>SUM(Q6:Q17)</f>
        <v>30</v>
      </c>
      <c r="R18" s="44">
        <f>COUNTIF(R6:R17,"&gt;1")</f>
        <v>3</v>
      </c>
      <c r="S18" s="45">
        <f>SUM(S6:S17)</f>
        <v>2</v>
      </c>
      <c r="T18" s="46">
        <f>SUM(T6:T17)</f>
        <v>6</v>
      </c>
      <c r="U18" s="56">
        <f>AVERAGE(U6:U17)</f>
        <v>0.78880952380952374</v>
      </c>
      <c r="V18" s="54" t="s">
        <v>119</v>
      </c>
      <c r="W18" s="56">
        <f>MEDIAN(U6:U17)</f>
        <v>0.95</v>
      </c>
    </row>
    <row r="19" spans="1:23" ht="29.25" customHeight="1" thickBot="1" x14ac:dyDescent="0.3">
      <c r="G19" s="132"/>
      <c r="W19" s="43"/>
    </row>
    <row r="20" spans="1:23" ht="29.25" customHeight="1" x14ac:dyDescent="0.25">
      <c r="C20" s="20" t="s">
        <v>4</v>
      </c>
      <c r="D20" s="20" t="s">
        <v>1</v>
      </c>
      <c r="E20" s="20" t="s">
        <v>70</v>
      </c>
      <c r="F20" s="20" t="s">
        <v>3</v>
      </c>
      <c r="G20" s="20" t="s">
        <v>2</v>
      </c>
      <c r="H20" s="20" t="s">
        <v>6</v>
      </c>
      <c r="I20" s="20" t="s">
        <v>25</v>
      </c>
      <c r="J20" s="20" t="s">
        <v>26</v>
      </c>
      <c r="K20" s="20" t="s">
        <v>19</v>
      </c>
      <c r="L20" s="20" t="s">
        <v>28</v>
      </c>
      <c r="M20" s="20" t="s">
        <v>27</v>
      </c>
      <c r="N20" s="20" t="s">
        <v>7</v>
      </c>
      <c r="P20" s="12" t="s">
        <v>29</v>
      </c>
      <c r="Q20" s="13" t="s">
        <v>30</v>
      </c>
      <c r="R20" s="11" t="s">
        <v>31</v>
      </c>
      <c r="S20" s="12" t="s">
        <v>32</v>
      </c>
      <c r="T20" s="13" t="s">
        <v>422</v>
      </c>
      <c r="V20" s="43"/>
      <c r="W20" s="43"/>
    </row>
    <row r="21" spans="1:23" ht="29.25" customHeight="1" x14ac:dyDescent="0.25">
      <c r="A21" s="8"/>
      <c r="C21" s="21">
        <v>43066</v>
      </c>
      <c r="D21" s="23" t="s">
        <v>256</v>
      </c>
      <c r="E21" s="24" t="s">
        <v>258</v>
      </c>
      <c r="F21" s="25" t="s">
        <v>257</v>
      </c>
      <c r="G21" s="7" t="s">
        <v>11</v>
      </c>
      <c r="H21" s="9" t="s">
        <v>24</v>
      </c>
      <c r="I21" s="27"/>
      <c r="J21" s="59" t="s">
        <v>261</v>
      </c>
      <c r="K21" s="27" t="s">
        <v>12</v>
      </c>
      <c r="L21" s="27"/>
      <c r="M21" s="30" t="s">
        <v>411</v>
      </c>
      <c r="N21" s="33">
        <v>10750</v>
      </c>
      <c r="P21" s="16">
        <f>LEN(I21)-LEN(SUBSTITUTE(I21,",",""))</f>
        <v>0</v>
      </c>
      <c r="Q21" s="15">
        <f t="shared" ref="Q21:Q24" si="22">LEN(J21)-LEN(SUBSTITUTE(J21,",",""))</f>
        <v>9</v>
      </c>
      <c r="R21" s="18">
        <f t="shared" ref="R21:R24" si="23">LEN(K21)-LEN(SUBSTITUTE(K21,",",""))</f>
        <v>0</v>
      </c>
      <c r="S21" s="16">
        <f t="shared" ref="S21:S24" si="24">LEN(L21)-LEN(SUBSTITUTE(L21,",",""))</f>
        <v>0</v>
      </c>
      <c r="T21" s="15">
        <f t="shared" ref="T21:T24" si="25">LEN(M21)-LEN(SUBSTITUTE(M21,",",""))</f>
        <v>4</v>
      </c>
      <c r="U21" s="54">
        <f t="shared" ref="U21" si="26">Q21/(SUM(P21,Q21))</f>
        <v>1</v>
      </c>
      <c r="V21" s="43"/>
      <c r="W21" s="43"/>
    </row>
    <row r="22" spans="1:23" ht="29.25" customHeight="1" x14ac:dyDescent="0.25">
      <c r="C22" s="21">
        <v>43067</v>
      </c>
      <c r="D22" s="23" t="s">
        <v>256</v>
      </c>
      <c r="E22" s="24" t="s">
        <v>263</v>
      </c>
      <c r="F22" s="25" t="s">
        <v>262</v>
      </c>
      <c r="G22" s="6" t="s">
        <v>9</v>
      </c>
      <c r="H22" s="6" t="s">
        <v>9</v>
      </c>
      <c r="I22" s="27"/>
      <c r="J22" s="59"/>
      <c r="K22" s="27"/>
      <c r="L22" s="27"/>
      <c r="M22" s="28"/>
      <c r="N22" s="33">
        <v>1410</v>
      </c>
      <c r="P22" s="16">
        <f>LEN(I22)-LEN(SUBSTITUTE(I22,",",""))</f>
        <v>0</v>
      </c>
      <c r="Q22" s="15">
        <f t="shared" si="22"/>
        <v>0</v>
      </c>
      <c r="R22" s="18">
        <f t="shared" si="23"/>
        <v>0</v>
      </c>
      <c r="S22" s="16">
        <f t="shared" si="24"/>
        <v>0</v>
      </c>
      <c r="T22" s="15">
        <f t="shared" si="25"/>
        <v>0</v>
      </c>
      <c r="U22" s="54"/>
      <c r="V22" s="43" t="s">
        <v>209</v>
      </c>
      <c r="W22" s="43"/>
    </row>
    <row r="23" spans="1:23" ht="29.25" customHeight="1" x14ac:dyDescent="0.25">
      <c r="C23" s="21">
        <v>43068</v>
      </c>
      <c r="D23" s="23" t="s">
        <v>256</v>
      </c>
      <c r="E23" s="24" t="s">
        <v>265</v>
      </c>
      <c r="F23" s="25" t="s">
        <v>264</v>
      </c>
      <c r="G23" s="6" t="s">
        <v>9</v>
      </c>
      <c r="H23" s="7" t="s">
        <v>11</v>
      </c>
      <c r="I23" s="29"/>
      <c r="J23" s="59" t="s">
        <v>267</v>
      </c>
      <c r="K23" s="27"/>
      <c r="L23" s="27"/>
      <c r="M23" s="34"/>
      <c r="N23" s="33">
        <v>58</v>
      </c>
      <c r="P23" s="16">
        <f t="shared" ref="P23:P24" si="27">LEN(I23)-LEN(SUBSTITUTE(I23,",",""))</f>
        <v>0</v>
      </c>
      <c r="Q23" s="15">
        <f t="shared" si="22"/>
        <v>1</v>
      </c>
      <c r="R23" s="14">
        <f t="shared" si="23"/>
        <v>0</v>
      </c>
      <c r="S23" s="16">
        <f t="shared" si="24"/>
        <v>0</v>
      </c>
      <c r="T23" s="15">
        <f t="shared" si="25"/>
        <v>0</v>
      </c>
      <c r="U23" s="54">
        <f t="shared" ref="U23" si="28">Q23/(SUM(P23,Q23))</f>
        <v>1</v>
      </c>
      <c r="V23" s="43" t="s">
        <v>266</v>
      </c>
      <c r="W23" s="43"/>
    </row>
    <row r="24" spans="1:23" ht="29.25" customHeight="1" x14ac:dyDescent="0.25">
      <c r="C24" s="21">
        <v>43068</v>
      </c>
      <c r="D24" s="23" t="s">
        <v>256</v>
      </c>
      <c r="E24" s="24" t="s">
        <v>269</v>
      </c>
      <c r="F24" s="25" t="s">
        <v>268</v>
      </c>
      <c r="G24" s="7" t="s">
        <v>11</v>
      </c>
      <c r="H24" s="9" t="s">
        <v>24</v>
      </c>
      <c r="I24" s="27" t="s">
        <v>133</v>
      </c>
      <c r="J24" s="29" t="s">
        <v>273</v>
      </c>
      <c r="K24" s="29" t="s">
        <v>36</v>
      </c>
      <c r="L24" s="27"/>
      <c r="M24" s="28"/>
      <c r="N24" s="33">
        <v>274</v>
      </c>
      <c r="P24" s="16">
        <f t="shared" si="27"/>
        <v>1</v>
      </c>
      <c r="Q24" s="15">
        <f t="shared" si="22"/>
        <v>5</v>
      </c>
      <c r="R24" s="14">
        <f t="shared" si="23"/>
        <v>1</v>
      </c>
      <c r="S24" s="16">
        <f t="shared" si="24"/>
        <v>0</v>
      </c>
      <c r="T24" s="15">
        <f t="shared" si="25"/>
        <v>0</v>
      </c>
      <c r="U24" s="54"/>
      <c r="V24" s="43" t="s">
        <v>270</v>
      </c>
      <c r="W24" s="43"/>
    </row>
    <row r="25" spans="1:23" ht="29.25" customHeight="1" x14ac:dyDescent="0.25">
      <c r="C25" s="21">
        <v>43068</v>
      </c>
      <c r="D25" s="23" t="s">
        <v>256</v>
      </c>
      <c r="E25" s="24" t="s">
        <v>272</v>
      </c>
      <c r="F25" s="25" t="s">
        <v>271</v>
      </c>
      <c r="G25" s="6" t="s">
        <v>9</v>
      </c>
      <c r="H25" s="9" t="s">
        <v>24</v>
      </c>
      <c r="I25" s="29"/>
      <c r="J25" s="29" t="s">
        <v>274</v>
      </c>
      <c r="K25" s="29" t="s">
        <v>36</v>
      </c>
      <c r="L25" s="27"/>
      <c r="M25" s="28"/>
      <c r="N25" s="33">
        <v>355</v>
      </c>
      <c r="P25" s="16">
        <f t="shared" ref="P25" si="29">LEN(I25)-LEN(SUBSTITUTE(I25,",",""))</f>
        <v>0</v>
      </c>
      <c r="Q25" s="15">
        <f t="shared" ref="Q25" si="30">LEN(J25)-LEN(SUBSTITUTE(J25,",",""))</f>
        <v>3</v>
      </c>
      <c r="R25" s="14">
        <f t="shared" ref="R25" si="31">LEN(K25)-LEN(SUBSTITUTE(K25,",",""))</f>
        <v>1</v>
      </c>
      <c r="S25" s="16">
        <f t="shared" ref="S25" si="32">LEN(L25)-LEN(SUBSTITUTE(L25,",",""))</f>
        <v>0</v>
      </c>
      <c r="T25" s="15">
        <f t="shared" ref="T25" si="33">LEN(M25)-LEN(SUBSTITUTE(M25,",",""))</f>
        <v>0</v>
      </c>
      <c r="U25" s="54"/>
      <c r="V25" s="43" t="s">
        <v>270</v>
      </c>
    </row>
    <row r="26" spans="1:23" ht="29.25" customHeight="1" thickBot="1" x14ac:dyDescent="0.3">
      <c r="C26" s="51"/>
      <c r="D26" s="47"/>
      <c r="E26" s="48"/>
      <c r="F26" s="52"/>
      <c r="G26" s="49"/>
      <c r="H26" s="49"/>
      <c r="I26" s="53"/>
      <c r="J26" s="60"/>
      <c r="K26" s="60"/>
      <c r="L26" s="53"/>
      <c r="M26" s="53"/>
      <c r="N26" s="50"/>
      <c r="O26" t="s">
        <v>71</v>
      </c>
      <c r="P26" s="45">
        <f>SUM(P21:P25)</f>
        <v>1</v>
      </c>
      <c r="Q26" s="46">
        <f>SUM(Q21:Q25)</f>
        <v>18</v>
      </c>
      <c r="R26" s="44">
        <f>COUNTIF(R21:R25,"&gt;1")</f>
        <v>0</v>
      </c>
      <c r="S26" s="45">
        <f>SUM(S21:S25)</f>
        <v>0</v>
      </c>
      <c r="T26" s="46">
        <f>SUM(T21:T25)</f>
        <v>4</v>
      </c>
      <c r="U26" s="56">
        <f>AVERAGE(U21:U25)</f>
        <v>1</v>
      </c>
      <c r="V26" s="54" t="s">
        <v>119</v>
      </c>
      <c r="W26" s="56">
        <f>MEDIAN(U21:U24)</f>
        <v>1</v>
      </c>
    </row>
    <row r="27" spans="1:23" ht="29.25" customHeight="1" thickBot="1" x14ac:dyDescent="0.3"/>
    <row r="28" spans="1:23" ht="29.25" customHeight="1" x14ac:dyDescent="0.25">
      <c r="C28" s="20" t="s">
        <v>4</v>
      </c>
      <c r="D28" s="20" t="s">
        <v>1</v>
      </c>
      <c r="E28" s="20" t="s">
        <v>70</v>
      </c>
      <c r="F28" s="20" t="s">
        <v>3</v>
      </c>
      <c r="G28" s="20" t="s">
        <v>2</v>
      </c>
      <c r="H28" s="20" t="s">
        <v>6</v>
      </c>
      <c r="I28" s="20" t="s">
        <v>25</v>
      </c>
      <c r="J28" s="20" t="s">
        <v>26</v>
      </c>
      <c r="K28" s="20" t="s">
        <v>19</v>
      </c>
      <c r="L28" s="20" t="s">
        <v>28</v>
      </c>
      <c r="M28" s="20" t="s">
        <v>27</v>
      </c>
      <c r="N28" s="20" t="s">
        <v>7</v>
      </c>
      <c r="P28" s="12" t="s">
        <v>29</v>
      </c>
      <c r="Q28" s="13" t="s">
        <v>30</v>
      </c>
      <c r="R28" s="11" t="s">
        <v>31</v>
      </c>
      <c r="S28" s="12" t="s">
        <v>32</v>
      </c>
      <c r="T28" s="13" t="s">
        <v>422</v>
      </c>
    </row>
    <row r="29" spans="1:23" ht="29.25" customHeight="1" x14ac:dyDescent="0.25">
      <c r="C29" s="21">
        <v>43066</v>
      </c>
      <c r="D29" s="23" t="s">
        <v>68</v>
      </c>
      <c r="E29" s="24" t="s">
        <v>67</v>
      </c>
      <c r="F29" s="25" t="s">
        <v>66</v>
      </c>
      <c r="G29" s="7" t="s">
        <v>11</v>
      </c>
      <c r="H29" s="7" t="s">
        <v>11</v>
      </c>
      <c r="I29" s="31"/>
      <c r="J29" s="32" t="s">
        <v>69</v>
      </c>
      <c r="K29" s="31" t="s">
        <v>36</v>
      </c>
      <c r="L29" s="31" t="s">
        <v>76</v>
      </c>
      <c r="M29" s="27" t="s">
        <v>77</v>
      </c>
      <c r="N29" s="33">
        <v>92</v>
      </c>
      <c r="P29" s="16">
        <f>LEN(I29)-LEN(SUBSTITUTE(I29,",",""))</f>
        <v>0</v>
      </c>
      <c r="Q29" s="15">
        <f>LEN(J29)-LEN(SUBSTITUTE(J29,",",""))</f>
        <v>4</v>
      </c>
      <c r="R29" s="18">
        <f>LEN(K29)-LEN(SUBSTITUTE(K29,",",""))</f>
        <v>1</v>
      </c>
      <c r="S29" s="16">
        <f>LEN(L29)-LEN(SUBSTITUTE(L29,",",""))</f>
        <v>1</v>
      </c>
      <c r="T29" s="15">
        <f>LEN(M29)-LEN(SUBSTITUTE(M29,",",""))</f>
        <v>2</v>
      </c>
      <c r="U29" s="54">
        <f>Q29/(SUM(P29,Q29))</f>
        <v>1</v>
      </c>
    </row>
    <row r="30" spans="1:23" ht="29.25" customHeight="1" x14ac:dyDescent="0.25">
      <c r="C30" s="21">
        <v>43066</v>
      </c>
      <c r="D30" s="23" t="s">
        <v>68</v>
      </c>
      <c r="E30" s="24" t="s">
        <v>73</v>
      </c>
      <c r="F30" s="25" t="s">
        <v>72</v>
      </c>
      <c r="G30" s="6" t="s">
        <v>9</v>
      </c>
      <c r="H30" s="7" t="s">
        <v>11</v>
      </c>
      <c r="I30" s="31" t="s">
        <v>75</v>
      </c>
      <c r="J30" s="31" t="s">
        <v>78</v>
      </c>
      <c r="K30" s="31" t="s">
        <v>36</v>
      </c>
      <c r="L30" s="31"/>
      <c r="M30" s="30" t="s">
        <v>18</v>
      </c>
      <c r="N30" s="33">
        <v>243</v>
      </c>
      <c r="P30" s="16">
        <f t="shared" ref="P30:P35" si="34">LEN(I30)-LEN(SUBSTITUTE(I30,",",""))</f>
        <v>1</v>
      </c>
      <c r="Q30" s="15">
        <f t="shared" ref="Q30:Q35" si="35">LEN(J30)-LEN(SUBSTITUTE(J30,",",""))</f>
        <v>5</v>
      </c>
      <c r="R30" s="18">
        <f t="shared" ref="R30:R35" si="36">LEN(K30)-LEN(SUBSTITUTE(K30,",",""))</f>
        <v>1</v>
      </c>
      <c r="S30" s="16">
        <f t="shared" ref="S30:S35" si="37">LEN(L30)-LEN(SUBSTITUTE(L30,",",""))</f>
        <v>0</v>
      </c>
      <c r="T30" s="15">
        <f t="shared" ref="T30:T35" si="38">LEN(M30)-LEN(SUBSTITUTE(M30,",",""))</f>
        <v>3</v>
      </c>
      <c r="U30" s="54">
        <f t="shared" ref="U30:U35" si="39">Q30/(SUM(P30,Q30))</f>
        <v>0.83333333333333337</v>
      </c>
    </row>
    <row r="31" spans="1:23" ht="29.25" customHeight="1" x14ac:dyDescent="0.25">
      <c r="C31" s="21">
        <v>43066</v>
      </c>
      <c r="D31" s="23" t="s">
        <v>68</v>
      </c>
      <c r="E31" s="24" t="s">
        <v>80</v>
      </c>
      <c r="F31" s="4" t="s">
        <v>79</v>
      </c>
      <c r="G31" s="6" t="s">
        <v>9</v>
      </c>
      <c r="H31" s="7" t="s">
        <v>11</v>
      </c>
      <c r="I31" s="32" t="s">
        <v>12</v>
      </c>
      <c r="J31" s="32" t="s">
        <v>81</v>
      </c>
      <c r="K31" s="32"/>
      <c r="L31" s="32"/>
      <c r="M31" s="62" t="s">
        <v>111</v>
      </c>
      <c r="N31" s="33">
        <v>822</v>
      </c>
      <c r="P31" s="16">
        <f t="shared" si="34"/>
        <v>0</v>
      </c>
      <c r="Q31" s="15">
        <f t="shared" si="35"/>
        <v>2</v>
      </c>
      <c r="R31" s="18">
        <f t="shared" si="36"/>
        <v>0</v>
      </c>
      <c r="S31" s="16">
        <f t="shared" si="37"/>
        <v>0</v>
      </c>
      <c r="T31" s="15">
        <f t="shared" si="38"/>
        <v>1</v>
      </c>
      <c r="U31" s="54">
        <f t="shared" si="39"/>
        <v>1</v>
      </c>
      <c r="V31" t="s">
        <v>82</v>
      </c>
    </row>
    <row r="32" spans="1:23" ht="29.25" customHeight="1" x14ac:dyDescent="0.25">
      <c r="C32" s="21">
        <v>43067</v>
      </c>
      <c r="D32" s="23" t="s">
        <v>68</v>
      </c>
      <c r="E32" s="5" t="s">
        <v>85</v>
      </c>
      <c r="F32" s="4" t="s">
        <v>86</v>
      </c>
      <c r="G32" s="6" t="s">
        <v>9</v>
      </c>
      <c r="H32" s="7" t="s">
        <v>11</v>
      </c>
      <c r="I32" s="32" t="s">
        <v>12</v>
      </c>
      <c r="J32" s="29" t="s">
        <v>35</v>
      </c>
      <c r="K32" s="32" t="s">
        <v>36</v>
      </c>
      <c r="L32" s="32"/>
      <c r="M32" s="62"/>
      <c r="N32" s="33">
        <v>205</v>
      </c>
      <c r="P32" s="16">
        <f t="shared" si="34"/>
        <v>0</v>
      </c>
      <c r="Q32" s="15">
        <f t="shared" si="35"/>
        <v>1</v>
      </c>
      <c r="R32" s="18">
        <f t="shared" si="36"/>
        <v>1</v>
      </c>
      <c r="S32" s="16">
        <f t="shared" si="37"/>
        <v>0</v>
      </c>
      <c r="T32" s="15">
        <f t="shared" si="38"/>
        <v>0</v>
      </c>
      <c r="U32" s="54">
        <f t="shared" si="39"/>
        <v>1</v>
      </c>
      <c r="V32" t="s">
        <v>87</v>
      </c>
    </row>
    <row r="33" spans="1:24" ht="29.25" customHeight="1" x14ac:dyDescent="0.25">
      <c r="C33" s="21">
        <v>43067</v>
      </c>
      <c r="D33" s="23" t="s">
        <v>68</v>
      </c>
      <c r="E33" s="5" t="s">
        <v>423</v>
      </c>
      <c r="F33" s="4" t="s">
        <v>88</v>
      </c>
      <c r="G33" s="57" t="s">
        <v>24</v>
      </c>
      <c r="H33" s="9" t="s">
        <v>24</v>
      </c>
      <c r="I33" s="31" t="s">
        <v>75</v>
      </c>
      <c r="J33" s="29" t="s">
        <v>109</v>
      </c>
      <c r="K33" s="32" t="s">
        <v>89</v>
      </c>
      <c r="L33" s="32"/>
      <c r="M33" s="62"/>
      <c r="N33" s="33">
        <v>80</v>
      </c>
      <c r="P33" s="16">
        <f t="shared" si="34"/>
        <v>1</v>
      </c>
      <c r="Q33" s="15">
        <f t="shared" si="35"/>
        <v>5</v>
      </c>
      <c r="R33" s="18">
        <f t="shared" si="36"/>
        <v>5</v>
      </c>
      <c r="S33" s="16">
        <f t="shared" si="37"/>
        <v>0</v>
      </c>
      <c r="T33" s="15">
        <f t="shared" si="38"/>
        <v>0</v>
      </c>
      <c r="U33" s="54">
        <f t="shared" si="39"/>
        <v>0.83333333333333337</v>
      </c>
      <c r="V33" t="s">
        <v>91</v>
      </c>
    </row>
    <row r="34" spans="1:24" ht="29.25" customHeight="1" x14ac:dyDescent="0.25">
      <c r="C34" s="21">
        <v>43068</v>
      </c>
      <c r="D34" s="23" t="s">
        <v>68</v>
      </c>
      <c r="E34" s="5" t="s">
        <v>94</v>
      </c>
      <c r="F34" s="4" t="s">
        <v>92</v>
      </c>
      <c r="G34" s="57" t="s">
        <v>24</v>
      </c>
      <c r="H34" s="57" t="s">
        <v>24</v>
      </c>
      <c r="I34" s="32" t="s">
        <v>12</v>
      </c>
      <c r="J34" s="32" t="s">
        <v>93</v>
      </c>
      <c r="K34" s="32"/>
      <c r="L34" s="32"/>
      <c r="M34" s="62"/>
      <c r="N34" s="33">
        <v>0</v>
      </c>
      <c r="P34" s="16">
        <f t="shared" si="34"/>
        <v>0</v>
      </c>
      <c r="Q34" s="15">
        <f t="shared" si="35"/>
        <v>2</v>
      </c>
      <c r="R34" s="18">
        <f t="shared" si="36"/>
        <v>0</v>
      </c>
      <c r="S34" s="16">
        <f t="shared" si="37"/>
        <v>0</v>
      </c>
      <c r="T34" s="15">
        <f t="shared" si="38"/>
        <v>0</v>
      </c>
      <c r="U34" s="54">
        <f t="shared" si="39"/>
        <v>1</v>
      </c>
    </row>
    <row r="35" spans="1:24" ht="29.25" customHeight="1" x14ac:dyDescent="0.25">
      <c r="C35" s="21">
        <v>43068</v>
      </c>
      <c r="D35" s="23" t="s">
        <v>68</v>
      </c>
      <c r="E35" s="5" t="s">
        <v>96</v>
      </c>
      <c r="F35" s="4" t="s">
        <v>95</v>
      </c>
      <c r="G35" s="9" t="s">
        <v>24</v>
      </c>
      <c r="H35" s="7" t="s">
        <v>11</v>
      </c>
      <c r="I35" s="32" t="s">
        <v>12</v>
      </c>
      <c r="J35" s="27" t="s">
        <v>97</v>
      </c>
      <c r="K35" s="32" t="s">
        <v>36</v>
      </c>
      <c r="L35" s="32"/>
      <c r="M35" s="62" t="s">
        <v>110</v>
      </c>
      <c r="N35" s="33">
        <v>1370</v>
      </c>
      <c r="P35" s="16">
        <f t="shared" si="34"/>
        <v>0</v>
      </c>
      <c r="Q35" s="15">
        <f t="shared" si="35"/>
        <v>2</v>
      </c>
      <c r="R35" s="18">
        <f t="shared" si="36"/>
        <v>1</v>
      </c>
      <c r="S35" s="16">
        <f t="shared" si="37"/>
        <v>0</v>
      </c>
      <c r="T35" s="15">
        <f t="shared" si="38"/>
        <v>1</v>
      </c>
      <c r="U35" s="54">
        <f t="shared" si="39"/>
        <v>1</v>
      </c>
      <c r="V35" t="s">
        <v>98</v>
      </c>
    </row>
    <row r="36" spans="1:24" ht="29.25" customHeight="1" thickBot="1" x14ac:dyDescent="0.3">
      <c r="B36" s="35"/>
      <c r="C36" s="35"/>
      <c r="D36" s="36"/>
      <c r="E36" s="37"/>
      <c r="F36" s="38"/>
      <c r="G36" s="39"/>
      <c r="H36" s="17"/>
      <c r="I36" s="17"/>
      <c r="J36" s="40"/>
      <c r="K36" s="40"/>
      <c r="L36" s="40"/>
      <c r="M36" s="40"/>
      <c r="N36" s="41"/>
      <c r="O36" t="s">
        <v>71</v>
      </c>
      <c r="P36" s="45">
        <f>SUM(P29:P35)</f>
        <v>2</v>
      </c>
      <c r="Q36" s="46">
        <f t="shared" ref="Q36:T36" si="40">SUM(Q29:Q35)</f>
        <v>21</v>
      </c>
      <c r="R36" s="44">
        <f>COUNTIF(R29:R35,"&gt;1")</f>
        <v>1</v>
      </c>
      <c r="S36" s="45">
        <f t="shared" si="40"/>
        <v>1</v>
      </c>
      <c r="T36" s="46">
        <f t="shared" si="40"/>
        <v>7</v>
      </c>
      <c r="U36" s="56">
        <f>AVERAGE(U29:U35)</f>
        <v>0.95238095238095244</v>
      </c>
      <c r="V36" s="54" t="s">
        <v>119</v>
      </c>
      <c r="W36" s="56">
        <f>MEDIAN(U29:U35)</f>
        <v>1</v>
      </c>
    </row>
    <row r="37" spans="1:24" ht="29.25" customHeight="1" thickBot="1" x14ac:dyDescent="0.3"/>
    <row r="38" spans="1:24" ht="29.25" customHeight="1" x14ac:dyDescent="0.25">
      <c r="C38" s="20" t="s">
        <v>4</v>
      </c>
      <c r="D38" s="20" t="s">
        <v>1</v>
      </c>
      <c r="E38" s="20" t="s">
        <v>70</v>
      </c>
      <c r="F38" s="20" t="s">
        <v>3</v>
      </c>
      <c r="G38" s="20" t="s">
        <v>2</v>
      </c>
      <c r="H38" s="20" t="s">
        <v>6</v>
      </c>
      <c r="I38" s="20" t="s">
        <v>25</v>
      </c>
      <c r="J38" s="20" t="s">
        <v>26</v>
      </c>
      <c r="K38" s="20" t="s">
        <v>19</v>
      </c>
      <c r="L38" s="20" t="s">
        <v>28</v>
      </c>
      <c r="M38" s="20" t="s">
        <v>27</v>
      </c>
      <c r="N38" s="20" t="s">
        <v>7</v>
      </c>
      <c r="P38" s="12" t="s">
        <v>29</v>
      </c>
      <c r="Q38" s="13" t="s">
        <v>30</v>
      </c>
      <c r="R38" s="11" t="s">
        <v>31</v>
      </c>
      <c r="S38" s="12" t="s">
        <v>32</v>
      </c>
      <c r="T38" s="13" t="s">
        <v>422</v>
      </c>
    </row>
    <row r="39" spans="1:24" ht="29.25" customHeight="1" x14ac:dyDescent="0.25">
      <c r="C39" s="21">
        <v>43066</v>
      </c>
      <c r="D39" s="23" t="s">
        <v>102</v>
      </c>
      <c r="E39" s="24" t="s">
        <v>100</v>
      </c>
      <c r="F39" s="25" t="s">
        <v>99</v>
      </c>
      <c r="G39" s="6" t="s">
        <v>9</v>
      </c>
      <c r="H39" s="57" t="s">
        <v>24</v>
      </c>
      <c r="I39" s="31"/>
      <c r="J39" s="27" t="s">
        <v>101</v>
      </c>
      <c r="K39" s="31" t="s">
        <v>36</v>
      </c>
      <c r="L39" s="31"/>
      <c r="M39" s="27" t="s">
        <v>118</v>
      </c>
      <c r="N39" s="33">
        <v>1110</v>
      </c>
      <c r="P39" s="16">
        <f>LEN(I39)-LEN(SUBSTITUTE(I39,",",""))</f>
        <v>0</v>
      </c>
      <c r="Q39" s="15">
        <f>LEN(J39)-LEN(SUBSTITUTE(J39,",",""))</f>
        <v>5</v>
      </c>
      <c r="R39" s="18">
        <f>LEN(K39)-LEN(SUBSTITUTE(K39,",",""))</f>
        <v>1</v>
      </c>
      <c r="S39" s="16">
        <f>LEN(L39)-LEN(SUBSTITUTE(L39,",",""))</f>
        <v>0</v>
      </c>
      <c r="T39" s="15">
        <f>LEN(M39)-LEN(SUBSTITUTE(M39,",",""))</f>
        <v>1</v>
      </c>
      <c r="U39" s="54">
        <f t="shared" ref="U39:U41" si="41">Q39/(SUM(P39,Q39))</f>
        <v>1</v>
      </c>
    </row>
    <row r="40" spans="1:24" ht="29.25" customHeight="1" x14ac:dyDescent="0.25">
      <c r="C40" s="21">
        <v>43068</v>
      </c>
      <c r="D40" s="23" t="s">
        <v>102</v>
      </c>
      <c r="E40" s="24" t="s">
        <v>104</v>
      </c>
      <c r="F40" s="25" t="s">
        <v>103</v>
      </c>
      <c r="G40" s="7" t="s">
        <v>11</v>
      </c>
      <c r="H40" s="6" t="s">
        <v>9</v>
      </c>
      <c r="J40" s="31"/>
      <c r="K40" s="31"/>
      <c r="L40" s="31"/>
      <c r="M40" s="30"/>
      <c r="N40" s="33">
        <v>1450</v>
      </c>
      <c r="P40" s="16">
        <f t="shared" ref="P40:P41" si="42">LEN(I40)-LEN(SUBSTITUTE(I40,",",""))</f>
        <v>0</v>
      </c>
      <c r="Q40" s="15">
        <f t="shared" ref="Q40:Q41" si="43">LEN(J40)-LEN(SUBSTITUTE(J40,",",""))</f>
        <v>0</v>
      </c>
      <c r="R40" s="18">
        <f t="shared" ref="R40:R41" si="44">LEN(K40)-LEN(SUBSTITUTE(K40,",",""))</f>
        <v>0</v>
      </c>
      <c r="S40" s="16">
        <f t="shared" ref="S40:S41" si="45">LEN(L40)-LEN(SUBSTITUTE(L40,",",""))</f>
        <v>0</v>
      </c>
      <c r="T40" s="15">
        <f t="shared" ref="T40:T41" si="46">LEN(M40)-LEN(SUBSTITUTE(M40,",",""))</f>
        <v>0</v>
      </c>
      <c r="U40" s="54"/>
      <c r="V40" t="s">
        <v>105</v>
      </c>
    </row>
    <row r="41" spans="1:24" ht="29.25" customHeight="1" x14ac:dyDescent="0.25">
      <c r="C41" s="21">
        <v>43068</v>
      </c>
      <c r="D41" s="23" t="s">
        <v>102</v>
      </c>
      <c r="E41" s="24" t="s">
        <v>107</v>
      </c>
      <c r="F41" s="4" t="s">
        <v>106</v>
      </c>
      <c r="G41" s="7" t="s">
        <v>11</v>
      </c>
      <c r="H41" s="9" t="s">
        <v>24</v>
      </c>
      <c r="I41" s="32"/>
      <c r="J41" s="10" t="s">
        <v>108</v>
      </c>
      <c r="K41" s="10" t="s">
        <v>12</v>
      </c>
      <c r="L41" s="10"/>
      <c r="M41" s="34"/>
      <c r="N41" s="33">
        <v>135</v>
      </c>
      <c r="P41" s="16">
        <f t="shared" si="42"/>
        <v>0</v>
      </c>
      <c r="Q41" s="15">
        <f t="shared" si="43"/>
        <v>2</v>
      </c>
      <c r="R41" s="18">
        <f t="shared" si="44"/>
        <v>0</v>
      </c>
      <c r="S41" s="16">
        <f t="shared" si="45"/>
        <v>0</v>
      </c>
      <c r="T41" s="15">
        <f t="shared" si="46"/>
        <v>0</v>
      </c>
      <c r="U41" s="54">
        <f t="shared" si="41"/>
        <v>1</v>
      </c>
    </row>
    <row r="42" spans="1:24" ht="29.25" customHeight="1" thickBot="1" x14ac:dyDescent="0.3">
      <c r="B42" s="35"/>
      <c r="C42" s="35"/>
      <c r="D42" s="36"/>
      <c r="E42" s="37"/>
      <c r="F42" s="38"/>
      <c r="G42" s="39"/>
      <c r="H42" s="17"/>
      <c r="I42" s="17"/>
      <c r="J42" s="40"/>
      <c r="K42" s="40"/>
      <c r="L42" s="40"/>
      <c r="M42" s="40"/>
      <c r="N42" s="41"/>
      <c r="O42" t="s">
        <v>71</v>
      </c>
      <c r="P42" s="45">
        <f>SUM(P39:P41)</f>
        <v>0</v>
      </c>
      <c r="Q42" s="46">
        <f>SUM(Q39:Q41)</f>
        <v>7</v>
      </c>
      <c r="R42" s="44">
        <f>COUNTIF(R39:R41,"&gt;1")</f>
        <v>0</v>
      </c>
      <c r="S42" s="45">
        <f>SUM(S39:S41)</f>
        <v>0</v>
      </c>
      <c r="T42" s="46">
        <f>SUM(T39:T41)</f>
        <v>1</v>
      </c>
      <c r="U42" s="56">
        <f>AVERAGE(U39:U41)</f>
        <v>1</v>
      </c>
      <c r="V42" s="54" t="s">
        <v>119</v>
      </c>
      <c r="W42" s="56">
        <f>MEDIAN(U39:U41)</f>
        <v>1</v>
      </c>
      <c r="X42" s="43"/>
    </row>
    <row r="43" spans="1:24" ht="29.25" customHeight="1" thickBot="1" x14ac:dyDescent="0.3">
      <c r="W43" s="43"/>
      <c r="X43" s="43"/>
    </row>
    <row r="44" spans="1:24" ht="29.25" customHeight="1" x14ac:dyDescent="0.25">
      <c r="C44" s="20" t="s">
        <v>4</v>
      </c>
      <c r="D44" s="20" t="s">
        <v>1</v>
      </c>
      <c r="E44" s="20" t="s">
        <v>70</v>
      </c>
      <c r="F44" s="20" t="s">
        <v>3</v>
      </c>
      <c r="G44" s="20" t="s">
        <v>2</v>
      </c>
      <c r="H44" s="20" t="s">
        <v>6</v>
      </c>
      <c r="I44" s="20" t="s">
        <v>25</v>
      </c>
      <c r="J44" s="20" t="s">
        <v>26</v>
      </c>
      <c r="K44" s="20" t="s">
        <v>19</v>
      </c>
      <c r="L44" s="20" t="s">
        <v>28</v>
      </c>
      <c r="M44" s="20" t="s">
        <v>27</v>
      </c>
      <c r="N44" s="20" t="s">
        <v>7</v>
      </c>
      <c r="P44" s="12" t="s">
        <v>29</v>
      </c>
      <c r="Q44" s="13" t="s">
        <v>30</v>
      </c>
      <c r="R44" s="11" t="s">
        <v>31</v>
      </c>
      <c r="S44" s="12" t="s">
        <v>32</v>
      </c>
      <c r="T44" s="13" t="s">
        <v>422</v>
      </c>
      <c r="V44" s="43"/>
      <c r="W44" s="43"/>
      <c r="X44" s="43"/>
    </row>
    <row r="45" spans="1:24" ht="29.25" customHeight="1" x14ac:dyDescent="0.25">
      <c r="A45" s="8"/>
      <c r="C45" s="21">
        <v>43066</v>
      </c>
      <c r="D45" s="23" t="s">
        <v>114</v>
      </c>
      <c r="E45" s="24" t="s">
        <v>113</v>
      </c>
      <c r="F45" s="25" t="s">
        <v>112</v>
      </c>
      <c r="G45" s="6" t="s">
        <v>9</v>
      </c>
      <c r="H45" s="7" t="s">
        <v>11</v>
      </c>
      <c r="I45" s="27"/>
      <c r="J45" s="59" t="s">
        <v>35</v>
      </c>
      <c r="K45" s="27" t="s">
        <v>36</v>
      </c>
      <c r="L45" s="27"/>
      <c r="M45" s="28"/>
      <c r="N45" s="33">
        <v>11380</v>
      </c>
      <c r="P45" s="16">
        <f>LEN(I45)-LEN(SUBSTITUTE(I45,",",""))</f>
        <v>0</v>
      </c>
      <c r="Q45" s="15">
        <f t="shared" ref="Q45:Q51" si="47">LEN(J45)-LEN(SUBSTITUTE(J45,",",""))</f>
        <v>1</v>
      </c>
      <c r="R45" s="18">
        <f t="shared" ref="R45:R51" si="48">LEN(K45)-LEN(SUBSTITUTE(K45,",",""))</f>
        <v>1</v>
      </c>
      <c r="S45" s="16">
        <f t="shared" ref="S45:S51" si="49">LEN(L45)-LEN(SUBSTITUTE(L45,",",""))</f>
        <v>0</v>
      </c>
      <c r="T45" s="15">
        <f t="shared" ref="T45:T51" si="50">LEN(M45)-LEN(SUBSTITUTE(M45,",",""))</f>
        <v>0</v>
      </c>
      <c r="U45" s="54">
        <f t="shared" ref="U45:U51" si="51">Q45/(SUM(P45,Q45))</f>
        <v>1</v>
      </c>
      <c r="V45" s="43"/>
      <c r="W45" s="43"/>
      <c r="X45" s="43"/>
    </row>
    <row r="46" spans="1:24" ht="29.25" customHeight="1" x14ac:dyDescent="0.25">
      <c r="C46" s="21">
        <v>43066</v>
      </c>
      <c r="D46" s="23" t="s">
        <v>114</v>
      </c>
      <c r="E46" s="24" t="s">
        <v>117</v>
      </c>
      <c r="F46" s="25" t="s">
        <v>116</v>
      </c>
      <c r="G46" s="57" t="s">
        <v>24</v>
      </c>
      <c r="H46" s="57" t="s">
        <v>24</v>
      </c>
      <c r="I46" s="27"/>
      <c r="J46" s="59" t="s">
        <v>123</v>
      </c>
      <c r="K46" s="27" t="s">
        <v>36</v>
      </c>
      <c r="L46" s="27"/>
      <c r="M46" s="28"/>
      <c r="N46" s="33">
        <v>11010</v>
      </c>
      <c r="P46" s="16">
        <f>LEN(I46)-LEN(SUBSTITUTE(I46,",",""))</f>
        <v>0</v>
      </c>
      <c r="Q46" s="15">
        <f t="shared" si="47"/>
        <v>2</v>
      </c>
      <c r="R46" s="18">
        <f t="shared" si="48"/>
        <v>1</v>
      </c>
      <c r="S46" s="16">
        <f t="shared" si="49"/>
        <v>0</v>
      </c>
      <c r="T46" s="15">
        <f t="shared" si="50"/>
        <v>0</v>
      </c>
      <c r="U46" s="54">
        <f t="shared" si="51"/>
        <v>1</v>
      </c>
      <c r="V46" s="43" t="s">
        <v>120</v>
      </c>
      <c r="W46" s="43"/>
      <c r="X46" s="43"/>
    </row>
    <row r="47" spans="1:24" ht="29.25" customHeight="1" x14ac:dyDescent="0.25">
      <c r="C47" s="21">
        <v>43066</v>
      </c>
      <c r="D47" s="23" t="s">
        <v>114</v>
      </c>
      <c r="E47" s="24" t="s">
        <v>122</v>
      </c>
      <c r="F47" s="25" t="s">
        <v>121</v>
      </c>
      <c r="G47" s="6" t="s">
        <v>9</v>
      </c>
      <c r="H47" s="9" t="s">
        <v>24</v>
      </c>
      <c r="I47" s="27" t="s">
        <v>127</v>
      </c>
      <c r="J47" s="59" t="s">
        <v>124</v>
      </c>
      <c r="K47" s="27" t="s">
        <v>36</v>
      </c>
      <c r="L47" s="27"/>
      <c r="M47" s="34" t="s">
        <v>412</v>
      </c>
      <c r="N47" s="33">
        <v>688</v>
      </c>
      <c r="P47" s="16">
        <f t="shared" ref="P47:P51" si="52">LEN(I47)-LEN(SUBSTITUTE(I47,",",""))</f>
        <v>2</v>
      </c>
      <c r="Q47" s="15">
        <f t="shared" si="47"/>
        <v>6</v>
      </c>
      <c r="R47" s="14">
        <f t="shared" si="48"/>
        <v>1</v>
      </c>
      <c r="S47" s="16">
        <f t="shared" si="49"/>
        <v>0</v>
      </c>
      <c r="T47" s="15">
        <f t="shared" si="50"/>
        <v>5</v>
      </c>
      <c r="U47" s="54">
        <f t="shared" si="51"/>
        <v>0.75</v>
      </c>
      <c r="V47" s="43"/>
      <c r="W47" s="43"/>
      <c r="X47" s="43"/>
    </row>
    <row r="48" spans="1:24" ht="29.25" customHeight="1" x14ac:dyDescent="0.25">
      <c r="C48" s="21">
        <v>43066</v>
      </c>
      <c r="D48" s="23" t="s">
        <v>114</v>
      </c>
      <c r="E48" s="24" t="s">
        <v>129</v>
      </c>
      <c r="F48" s="25" t="s">
        <v>128</v>
      </c>
      <c r="G48" s="57" t="s">
        <v>24</v>
      </c>
      <c r="H48" s="57" t="s">
        <v>24</v>
      </c>
      <c r="I48" s="27"/>
      <c r="J48" s="59" t="s">
        <v>123</v>
      </c>
      <c r="K48" s="27" t="s">
        <v>36</v>
      </c>
      <c r="L48" s="27"/>
      <c r="M48" s="28"/>
      <c r="N48" s="33">
        <v>164</v>
      </c>
      <c r="P48" s="16">
        <f t="shared" si="52"/>
        <v>0</v>
      </c>
      <c r="Q48" s="15">
        <f t="shared" si="47"/>
        <v>2</v>
      </c>
      <c r="R48" s="14">
        <f t="shared" si="48"/>
        <v>1</v>
      </c>
      <c r="S48" s="16">
        <f t="shared" si="49"/>
        <v>0</v>
      </c>
      <c r="T48" s="15">
        <f t="shared" si="50"/>
        <v>0</v>
      </c>
      <c r="U48" s="54">
        <f t="shared" si="51"/>
        <v>1</v>
      </c>
      <c r="V48" s="43" t="s">
        <v>132</v>
      </c>
      <c r="W48" s="43"/>
      <c r="X48" s="43"/>
    </row>
    <row r="49" spans="1:24" ht="29.25" customHeight="1" x14ac:dyDescent="0.25">
      <c r="C49" s="21">
        <v>43066</v>
      </c>
      <c r="D49" s="23" t="s">
        <v>114</v>
      </c>
      <c r="E49" s="24" t="s">
        <v>131</v>
      </c>
      <c r="F49" s="26" t="s">
        <v>130</v>
      </c>
      <c r="G49" s="6" t="s">
        <v>9</v>
      </c>
      <c r="H49" s="9" t="s">
        <v>24</v>
      </c>
      <c r="I49" s="29" t="s">
        <v>133</v>
      </c>
      <c r="J49" s="59" t="s">
        <v>135</v>
      </c>
      <c r="K49" s="27" t="s">
        <v>36</v>
      </c>
      <c r="L49" s="29"/>
      <c r="M49" s="29"/>
      <c r="N49" s="33">
        <v>2990</v>
      </c>
      <c r="P49" s="16">
        <f t="shared" si="52"/>
        <v>1</v>
      </c>
      <c r="Q49" s="15">
        <f t="shared" si="47"/>
        <v>3</v>
      </c>
      <c r="R49" s="14">
        <f t="shared" si="48"/>
        <v>1</v>
      </c>
      <c r="S49" s="16">
        <f t="shared" si="49"/>
        <v>0</v>
      </c>
      <c r="T49" s="15">
        <f t="shared" si="50"/>
        <v>0</v>
      </c>
      <c r="U49" s="54">
        <f t="shared" si="51"/>
        <v>0.75</v>
      </c>
      <c r="V49" s="43" t="s">
        <v>134</v>
      </c>
      <c r="W49" s="43"/>
      <c r="X49" s="43"/>
    </row>
    <row r="50" spans="1:24" ht="29.25" customHeight="1" x14ac:dyDescent="0.25">
      <c r="C50" s="21">
        <v>43067</v>
      </c>
      <c r="D50" s="23" t="s">
        <v>114</v>
      </c>
      <c r="E50" s="24" t="s">
        <v>137</v>
      </c>
      <c r="F50" s="26" t="s">
        <v>136</v>
      </c>
      <c r="G50" s="57" t="s">
        <v>24</v>
      </c>
      <c r="H50" s="7" t="s">
        <v>11</v>
      </c>
      <c r="I50" s="29" t="s">
        <v>12</v>
      </c>
      <c r="J50" s="34" t="s">
        <v>108</v>
      </c>
      <c r="K50" s="59" t="s">
        <v>12</v>
      </c>
      <c r="L50" s="29"/>
      <c r="M50" s="29" t="s">
        <v>140</v>
      </c>
      <c r="N50" s="33">
        <v>19</v>
      </c>
      <c r="P50" s="16">
        <f t="shared" si="52"/>
        <v>0</v>
      </c>
      <c r="Q50" s="15">
        <f t="shared" si="47"/>
        <v>2</v>
      </c>
      <c r="R50" s="14">
        <f t="shared" si="48"/>
        <v>0</v>
      </c>
      <c r="S50" s="16">
        <f t="shared" si="49"/>
        <v>0</v>
      </c>
      <c r="T50" s="15">
        <f t="shared" si="50"/>
        <v>1</v>
      </c>
      <c r="U50" s="54">
        <f t="shared" si="51"/>
        <v>1</v>
      </c>
      <c r="V50" s="43" t="s">
        <v>142</v>
      </c>
      <c r="W50" s="43"/>
      <c r="X50" s="43"/>
    </row>
    <row r="51" spans="1:24" ht="29.25" customHeight="1" x14ac:dyDescent="0.25">
      <c r="C51" s="21">
        <v>43067</v>
      </c>
      <c r="D51" s="23" t="s">
        <v>114</v>
      </c>
      <c r="E51" s="24" t="s">
        <v>139</v>
      </c>
      <c r="F51" s="26" t="s">
        <v>138</v>
      </c>
      <c r="G51" s="6" t="s">
        <v>9</v>
      </c>
      <c r="H51" s="7" t="s">
        <v>11</v>
      </c>
      <c r="I51" s="29"/>
      <c r="J51" s="59" t="s">
        <v>141</v>
      </c>
      <c r="K51" s="27" t="s">
        <v>36</v>
      </c>
      <c r="L51" s="29" t="s">
        <v>151</v>
      </c>
      <c r="M51" s="29"/>
      <c r="N51" s="33">
        <v>189</v>
      </c>
      <c r="P51" s="16">
        <f t="shared" si="52"/>
        <v>0</v>
      </c>
      <c r="Q51" s="15">
        <f t="shared" si="47"/>
        <v>3</v>
      </c>
      <c r="R51" s="14">
        <f t="shared" si="48"/>
        <v>1</v>
      </c>
      <c r="S51" s="16">
        <f t="shared" si="49"/>
        <v>1</v>
      </c>
      <c r="T51" s="15">
        <f t="shared" si="50"/>
        <v>0</v>
      </c>
      <c r="U51" s="54">
        <f t="shared" si="51"/>
        <v>1</v>
      </c>
      <c r="V51" s="43" t="s">
        <v>143</v>
      </c>
      <c r="W51" s="43"/>
      <c r="X51" s="43"/>
    </row>
    <row r="52" spans="1:24" ht="29.25" customHeight="1" thickBot="1" x14ac:dyDescent="0.3">
      <c r="A52" s="43"/>
      <c r="B52" s="43"/>
      <c r="C52" s="51"/>
      <c r="D52" s="47"/>
      <c r="E52" s="48"/>
      <c r="F52" s="52"/>
      <c r="G52" s="49"/>
      <c r="H52" s="49"/>
      <c r="I52" s="53"/>
      <c r="J52" s="60"/>
      <c r="K52" s="60"/>
      <c r="L52" s="53"/>
      <c r="M52" s="53"/>
      <c r="N52" s="50"/>
      <c r="O52" t="s">
        <v>71</v>
      </c>
      <c r="P52" s="45">
        <f>SUM(P45:P51)</f>
        <v>3</v>
      </c>
      <c r="Q52" s="46">
        <f>SUM(Q45:Q51)</f>
        <v>19</v>
      </c>
      <c r="R52" s="44">
        <f>COUNTIF(R45:R51,"&gt;1")</f>
        <v>0</v>
      </c>
      <c r="S52" s="45">
        <f>SUM(S45:S51)</f>
        <v>1</v>
      </c>
      <c r="T52" s="46">
        <f>SUM(T45:T51)</f>
        <v>6</v>
      </c>
      <c r="U52" s="56">
        <f>AVERAGE(U49:U51)</f>
        <v>0.91666666666666663</v>
      </c>
      <c r="V52" s="54" t="s">
        <v>119</v>
      </c>
      <c r="W52" s="56">
        <f>MEDIAN(U49:U51)</f>
        <v>1</v>
      </c>
      <c r="X52" s="43"/>
    </row>
    <row r="53" spans="1:24" ht="29.25" customHeight="1" thickBot="1" x14ac:dyDescent="0.3">
      <c r="A53" s="43"/>
      <c r="B53" s="43"/>
      <c r="C53" s="51"/>
      <c r="D53" s="47"/>
      <c r="E53" s="48"/>
      <c r="F53" s="52"/>
      <c r="G53" s="49"/>
      <c r="H53" s="49"/>
      <c r="I53" s="53"/>
      <c r="J53" s="60"/>
      <c r="K53" s="60"/>
      <c r="L53" s="53"/>
      <c r="M53" s="53"/>
      <c r="N53" s="50"/>
      <c r="O53" s="43"/>
      <c r="P53" s="42"/>
      <c r="Q53" s="42"/>
      <c r="R53" s="42"/>
      <c r="S53" s="42"/>
      <c r="T53" s="42"/>
      <c r="U53" s="61"/>
      <c r="V53" s="43"/>
    </row>
    <row r="54" spans="1:24" ht="29.25" customHeight="1" x14ac:dyDescent="0.25">
      <c r="C54" s="20" t="s">
        <v>4</v>
      </c>
      <c r="D54" s="20" t="s">
        <v>1</v>
      </c>
      <c r="E54" s="20" t="s">
        <v>70</v>
      </c>
      <c r="F54" s="20" t="s">
        <v>3</v>
      </c>
      <c r="G54" s="20" t="s">
        <v>2</v>
      </c>
      <c r="H54" s="20" t="s">
        <v>6</v>
      </c>
      <c r="I54" s="20" t="s">
        <v>25</v>
      </c>
      <c r="J54" s="20" t="s">
        <v>26</v>
      </c>
      <c r="K54" s="20" t="s">
        <v>19</v>
      </c>
      <c r="L54" s="20" t="s">
        <v>28</v>
      </c>
      <c r="M54" s="20" t="s">
        <v>27</v>
      </c>
      <c r="N54" s="20" t="s">
        <v>7</v>
      </c>
      <c r="P54" s="12" t="s">
        <v>29</v>
      </c>
      <c r="Q54" s="13" t="s">
        <v>30</v>
      </c>
      <c r="R54" s="11" t="s">
        <v>31</v>
      </c>
      <c r="S54" s="12" t="s">
        <v>32</v>
      </c>
      <c r="T54" s="13" t="s">
        <v>422</v>
      </c>
    </row>
    <row r="55" spans="1:24" ht="29.25" customHeight="1" x14ac:dyDescent="0.25">
      <c r="C55" s="21">
        <v>43066</v>
      </c>
      <c r="D55" s="23" t="s">
        <v>144</v>
      </c>
      <c r="E55" s="24" t="s">
        <v>146</v>
      </c>
      <c r="F55" s="25" t="s">
        <v>145</v>
      </c>
      <c r="G55" s="6" t="s">
        <v>9</v>
      </c>
      <c r="H55" s="7" t="s">
        <v>11</v>
      </c>
      <c r="I55" s="27" t="s">
        <v>147</v>
      </c>
      <c r="J55" s="62" t="s">
        <v>168</v>
      </c>
      <c r="K55" s="29" t="s">
        <v>50</v>
      </c>
      <c r="L55" s="27"/>
      <c r="M55" s="27"/>
      <c r="N55" s="33">
        <v>19380</v>
      </c>
      <c r="P55" s="16">
        <f>LEN(I55)-LEN(SUBSTITUTE(I55,",",""))</f>
        <v>1</v>
      </c>
      <c r="Q55" s="15">
        <f>LEN(J55)-LEN(SUBSTITUTE(J55,",",""))</f>
        <v>2</v>
      </c>
      <c r="R55" s="18">
        <f>LEN(K55)-LEN(SUBSTITUTE(K55,",",""))</f>
        <v>3</v>
      </c>
      <c r="S55" s="16">
        <f>LEN(L55)-LEN(SUBSTITUTE(L55,",",""))</f>
        <v>0</v>
      </c>
      <c r="T55" s="15">
        <f>LEN(M55)-LEN(SUBSTITUTE(M55,",",""))</f>
        <v>0</v>
      </c>
      <c r="U55" s="54">
        <f>Q55/(SUM(P55,Q55))</f>
        <v>0.66666666666666663</v>
      </c>
      <c r="V55" t="s">
        <v>148</v>
      </c>
    </row>
    <row r="56" spans="1:24" ht="29.25" customHeight="1" x14ac:dyDescent="0.25">
      <c r="C56" s="21">
        <v>43066</v>
      </c>
      <c r="D56" s="23" t="s">
        <v>144</v>
      </c>
      <c r="E56" s="24" t="s">
        <v>150</v>
      </c>
      <c r="F56" s="25" t="s">
        <v>149</v>
      </c>
      <c r="G56" s="9" t="s">
        <v>24</v>
      </c>
      <c r="H56" s="57" t="s">
        <v>24</v>
      </c>
      <c r="I56" s="27"/>
      <c r="J56" s="27" t="s">
        <v>152</v>
      </c>
      <c r="K56" s="27"/>
      <c r="L56" s="27"/>
      <c r="M56" s="30" t="s">
        <v>110</v>
      </c>
      <c r="N56" s="33">
        <v>4</v>
      </c>
      <c r="P56" s="16">
        <f t="shared" ref="P56:P60" si="53">LEN(I56)-LEN(SUBSTITUTE(I56,",",""))</f>
        <v>0</v>
      </c>
      <c r="Q56" s="15">
        <f t="shared" ref="Q56:Q60" si="54">LEN(J56)-LEN(SUBSTITUTE(J56,",",""))</f>
        <v>4</v>
      </c>
      <c r="R56" s="18">
        <f t="shared" ref="R56:R60" si="55">LEN(K56)-LEN(SUBSTITUTE(K56,",",""))</f>
        <v>0</v>
      </c>
      <c r="S56" s="16">
        <f t="shared" ref="S56:S60" si="56">LEN(L56)-LEN(SUBSTITUTE(L56,",",""))</f>
        <v>0</v>
      </c>
      <c r="T56" s="15">
        <f t="shared" ref="T56:T60" si="57">LEN(M56)-LEN(SUBSTITUTE(M56,",",""))</f>
        <v>1</v>
      </c>
      <c r="U56" s="54">
        <f t="shared" ref="U56:U59" si="58">Q56/(SUM(P56,Q56))</f>
        <v>1</v>
      </c>
      <c r="V56" t="s">
        <v>153</v>
      </c>
    </row>
    <row r="57" spans="1:24" ht="29.25" customHeight="1" x14ac:dyDescent="0.25">
      <c r="C57" s="21">
        <v>43066</v>
      </c>
      <c r="D57" s="23" t="s">
        <v>144</v>
      </c>
      <c r="E57" s="24" t="s">
        <v>155</v>
      </c>
      <c r="F57" s="4" t="s">
        <v>154</v>
      </c>
      <c r="G57" s="6" t="s">
        <v>9</v>
      </c>
      <c r="H57" s="7" t="s">
        <v>11</v>
      </c>
      <c r="I57" s="62"/>
      <c r="J57" s="27" t="s">
        <v>157</v>
      </c>
      <c r="K57" s="62"/>
      <c r="L57" s="62"/>
      <c r="M57" s="62"/>
      <c r="N57" s="33">
        <v>79</v>
      </c>
      <c r="P57" s="16">
        <f t="shared" si="53"/>
        <v>0</v>
      </c>
      <c r="Q57" s="15">
        <f t="shared" si="54"/>
        <v>2</v>
      </c>
      <c r="R57" s="18">
        <f t="shared" si="55"/>
        <v>0</v>
      </c>
      <c r="S57" s="16">
        <f t="shared" si="56"/>
        <v>0</v>
      </c>
      <c r="T57" s="15">
        <f t="shared" si="57"/>
        <v>0</v>
      </c>
      <c r="U57" s="54">
        <f t="shared" si="58"/>
        <v>1</v>
      </c>
      <c r="V57" t="s">
        <v>156</v>
      </c>
    </row>
    <row r="58" spans="1:24" ht="29.25" customHeight="1" x14ac:dyDescent="0.25">
      <c r="C58" s="21">
        <v>43066</v>
      </c>
      <c r="D58" s="23" t="s">
        <v>144</v>
      </c>
      <c r="E58" s="5" t="s">
        <v>159</v>
      </c>
      <c r="F58" s="4" t="s">
        <v>158</v>
      </c>
      <c r="G58" s="9" t="s">
        <v>24</v>
      </c>
      <c r="H58" s="57" t="s">
        <v>24</v>
      </c>
      <c r="I58" s="62"/>
      <c r="J58" s="59" t="s">
        <v>260</v>
      </c>
      <c r="K58" s="27" t="s">
        <v>36</v>
      </c>
      <c r="L58" s="62"/>
      <c r="M58" s="30" t="s">
        <v>160</v>
      </c>
      <c r="N58" s="33">
        <v>80</v>
      </c>
      <c r="P58" s="16">
        <f t="shared" si="53"/>
        <v>0</v>
      </c>
      <c r="Q58" s="15">
        <f t="shared" si="54"/>
        <v>9</v>
      </c>
      <c r="R58" s="18">
        <f t="shared" si="55"/>
        <v>1</v>
      </c>
      <c r="S58" s="16">
        <f t="shared" si="56"/>
        <v>0</v>
      </c>
      <c r="T58" s="15">
        <f t="shared" si="57"/>
        <v>4</v>
      </c>
      <c r="U58" s="54">
        <f t="shared" si="58"/>
        <v>1</v>
      </c>
    </row>
    <row r="59" spans="1:24" ht="29.25" customHeight="1" x14ac:dyDescent="0.25">
      <c r="C59" s="21">
        <v>43067</v>
      </c>
      <c r="D59" s="23" t="s">
        <v>144</v>
      </c>
      <c r="E59" s="5" t="s">
        <v>162</v>
      </c>
      <c r="F59" s="4" t="s">
        <v>161</v>
      </c>
      <c r="G59" s="6" t="s">
        <v>9</v>
      </c>
      <c r="H59" s="58" t="s">
        <v>197</v>
      </c>
      <c r="I59" s="27" t="s">
        <v>164</v>
      </c>
      <c r="J59" s="62"/>
      <c r="K59" s="62"/>
      <c r="L59" s="62" t="s">
        <v>163</v>
      </c>
      <c r="M59" s="62" t="s">
        <v>409</v>
      </c>
      <c r="N59" s="33">
        <v>173</v>
      </c>
      <c r="P59" s="16">
        <f t="shared" si="53"/>
        <v>3</v>
      </c>
      <c r="Q59" s="15">
        <f t="shared" si="54"/>
        <v>0</v>
      </c>
      <c r="R59" s="18">
        <f t="shared" si="55"/>
        <v>0</v>
      </c>
      <c r="S59" s="16">
        <f t="shared" si="56"/>
        <v>0</v>
      </c>
      <c r="T59" s="15">
        <f t="shared" si="57"/>
        <v>0</v>
      </c>
      <c r="U59" s="54">
        <f t="shared" si="58"/>
        <v>0</v>
      </c>
    </row>
    <row r="60" spans="1:24" ht="29.25" customHeight="1" x14ac:dyDescent="0.25">
      <c r="C60" s="21">
        <v>43067</v>
      </c>
      <c r="D60" s="23" t="s">
        <v>144</v>
      </c>
      <c r="E60" s="5" t="s">
        <v>166</v>
      </c>
      <c r="F60" s="4" t="s">
        <v>165</v>
      </c>
      <c r="G60" s="6" t="s">
        <v>9</v>
      </c>
      <c r="H60" s="6" t="s">
        <v>9</v>
      </c>
      <c r="I60" s="62"/>
      <c r="J60" s="62"/>
      <c r="K60" s="62"/>
      <c r="L60" s="62"/>
      <c r="M60" s="62"/>
      <c r="N60" s="33">
        <v>109</v>
      </c>
      <c r="P60" s="16">
        <f t="shared" si="53"/>
        <v>0</v>
      </c>
      <c r="Q60" s="15">
        <f t="shared" si="54"/>
        <v>0</v>
      </c>
      <c r="R60" s="18">
        <f t="shared" si="55"/>
        <v>0</v>
      </c>
      <c r="S60" s="16">
        <f t="shared" si="56"/>
        <v>0</v>
      </c>
      <c r="T60" s="15">
        <f t="shared" si="57"/>
        <v>0</v>
      </c>
      <c r="U60" s="54"/>
      <c r="V60" t="s">
        <v>167</v>
      </c>
    </row>
    <row r="61" spans="1:24" ht="29.25" customHeight="1" thickBot="1" x14ac:dyDescent="0.3">
      <c r="B61" s="35"/>
      <c r="C61" s="35"/>
      <c r="D61" s="36"/>
      <c r="E61" s="37"/>
      <c r="F61" s="38"/>
      <c r="G61" s="39"/>
      <c r="H61" s="17"/>
      <c r="I61" s="17"/>
      <c r="J61" s="40"/>
      <c r="K61" s="40"/>
      <c r="L61" s="40"/>
      <c r="M61" s="40"/>
      <c r="N61" s="41"/>
      <c r="O61" t="s">
        <v>71</v>
      </c>
      <c r="P61" s="45">
        <f>SUM(P55:P60)</f>
        <v>4</v>
      </c>
      <c r="Q61" s="46">
        <f>SUM(Q55:Q60)</f>
        <v>17</v>
      </c>
      <c r="R61" s="44">
        <f>COUNTIF(R55:R60,"&gt;1")</f>
        <v>1</v>
      </c>
      <c r="S61" s="45">
        <f>SUM(S55:S60)</f>
        <v>0</v>
      </c>
      <c r="T61" s="46">
        <f>SUM(T55:T60)</f>
        <v>5</v>
      </c>
      <c r="U61" s="56">
        <f>AVERAGE(U55:U60)</f>
        <v>0.73333333333333328</v>
      </c>
      <c r="V61" s="54" t="s">
        <v>119</v>
      </c>
      <c r="W61" s="56">
        <f>MEDIAN(U55:U60)</f>
        <v>1</v>
      </c>
    </row>
    <row r="62" spans="1:24" ht="29.25" customHeight="1" thickBot="1" x14ac:dyDescent="0.3"/>
    <row r="63" spans="1:24" ht="29.25" customHeight="1" x14ac:dyDescent="0.25">
      <c r="C63" s="20" t="s">
        <v>4</v>
      </c>
      <c r="D63" s="20" t="s">
        <v>1</v>
      </c>
      <c r="E63" s="20" t="s">
        <v>70</v>
      </c>
      <c r="F63" s="20" t="s">
        <v>3</v>
      </c>
      <c r="G63" s="20" t="s">
        <v>2</v>
      </c>
      <c r="H63" s="20" t="s">
        <v>6</v>
      </c>
      <c r="I63" s="20" t="s">
        <v>25</v>
      </c>
      <c r="J63" s="20" t="s">
        <v>26</v>
      </c>
      <c r="K63" s="20" t="s">
        <v>19</v>
      </c>
      <c r="L63" s="20" t="s">
        <v>28</v>
      </c>
      <c r="M63" s="20" t="s">
        <v>27</v>
      </c>
      <c r="N63" s="20" t="s">
        <v>7</v>
      </c>
      <c r="P63" s="12" t="s">
        <v>29</v>
      </c>
      <c r="Q63" s="13" t="s">
        <v>30</v>
      </c>
      <c r="R63" s="11" t="s">
        <v>31</v>
      </c>
      <c r="S63" s="12" t="s">
        <v>32</v>
      </c>
      <c r="T63" s="13" t="s">
        <v>422</v>
      </c>
      <c r="U63" s="55" t="s">
        <v>115</v>
      </c>
      <c r="V63" s="3"/>
    </row>
    <row r="64" spans="1:24" ht="29.25" customHeight="1" x14ac:dyDescent="0.25">
      <c r="A64" s="8"/>
      <c r="C64" s="21">
        <v>43066</v>
      </c>
      <c r="D64" s="23" t="s">
        <v>169</v>
      </c>
      <c r="E64" s="24" t="s">
        <v>171</v>
      </c>
      <c r="F64" s="25" t="s">
        <v>170</v>
      </c>
      <c r="G64" s="6" t="s">
        <v>9</v>
      </c>
      <c r="H64" s="7" t="s">
        <v>11</v>
      </c>
      <c r="I64" s="27" t="s">
        <v>147</v>
      </c>
      <c r="J64" s="62" t="s">
        <v>172</v>
      </c>
      <c r="K64" s="29" t="s">
        <v>50</v>
      </c>
      <c r="L64" s="27"/>
      <c r="M64" s="30" t="s">
        <v>173</v>
      </c>
      <c r="N64" s="33">
        <v>2940</v>
      </c>
      <c r="P64" s="16">
        <f>LEN(I64)-LEN(SUBSTITUTE(I64,",",""))</f>
        <v>1</v>
      </c>
      <c r="Q64" s="15">
        <f t="shared" ref="Q64:Q72" si="59">LEN(J64)-LEN(SUBSTITUTE(J64,",",""))</f>
        <v>1</v>
      </c>
      <c r="R64" s="18">
        <f t="shared" ref="R64:R72" si="60">LEN(K64)-LEN(SUBSTITUTE(K64,",",""))</f>
        <v>3</v>
      </c>
      <c r="S64" s="16">
        <f t="shared" ref="S64:S72" si="61">LEN(L64)-LEN(SUBSTITUTE(L64,",",""))</f>
        <v>0</v>
      </c>
      <c r="T64" s="15">
        <f t="shared" ref="T64:T72" si="62">LEN(M64)-LEN(SUBSTITUTE(M64,",",""))</f>
        <v>1</v>
      </c>
      <c r="U64" s="54">
        <f>Q64/(SUM(P64,Q64))</f>
        <v>0.5</v>
      </c>
      <c r="V64" t="s">
        <v>174</v>
      </c>
    </row>
    <row r="65" spans="1:23" ht="29.25" customHeight="1" x14ac:dyDescent="0.25">
      <c r="C65" s="21">
        <v>43066</v>
      </c>
      <c r="D65" s="23" t="s">
        <v>169</v>
      </c>
      <c r="E65" s="24" t="s">
        <v>175</v>
      </c>
      <c r="F65" s="25" t="s">
        <v>176</v>
      </c>
      <c r="G65" s="6" t="s">
        <v>9</v>
      </c>
      <c r="H65" s="7" t="s">
        <v>11</v>
      </c>
      <c r="I65" s="27" t="s">
        <v>185</v>
      </c>
      <c r="J65" s="59" t="s">
        <v>177</v>
      </c>
      <c r="K65" s="29" t="s">
        <v>50</v>
      </c>
      <c r="L65" s="27"/>
      <c r="M65" s="27" t="s">
        <v>111</v>
      </c>
      <c r="N65" s="33">
        <v>0</v>
      </c>
      <c r="P65" s="16">
        <f>LEN(I65)-LEN(SUBSTITUTE(I65,",",""))</f>
        <v>2</v>
      </c>
      <c r="Q65" s="15">
        <f t="shared" si="59"/>
        <v>4</v>
      </c>
      <c r="R65" s="18">
        <f t="shared" si="60"/>
        <v>3</v>
      </c>
      <c r="S65" s="16">
        <f t="shared" si="61"/>
        <v>0</v>
      </c>
      <c r="T65" s="15">
        <f t="shared" si="62"/>
        <v>1</v>
      </c>
      <c r="U65" s="54">
        <f t="shared" ref="U65:U66" si="63">Q65/(SUM(P65,Q65))</f>
        <v>0.66666666666666663</v>
      </c>
    </row>
    <row r="66" spans="1:23" ht="29.25" customHeight="1" x14ac:dyDescent="0.25">
      <c r="C66" s="21">
        <v>43066</v>
      </c>
      <c r="D66" s="23" t="s">
        <v>169</v>
      </c>
      <c r="E66" s="24" t="s">
        <v>179</v>
      </c>
      <c r="F66" s="25" t="s">
        <v>178</v>
      </c>
      <c r="G66" s="6" t="s">
        <v>9</v>
      </c>
      <c r="H66" s="7" t="s">
        <v>11</v>
      </c>
      <c r="I66" s="27"/>
      <c r="J66" s="29" t="s">
        <v>189</v>
      </c>
      <c r="K66" s="27"/>
      <c r="L66" s="27"/>
      <c r="M66" s="30" t="s">
        <v>413</v>
      </c>
      <c r="N66" s="33">
        <v>70</v>
      </c>
      <c r="P66" s="16">
        <f t="shared" ref="P66:P72" si="64">LEN(I66)-LEN(SUBSTITUTE(I66,",",""))</f>
        <v>0</v>
      </c>
      <c r="Q66" s="15">
        <f t="shared" si="59"/>
        <v>2</v>
      </c>
      <c r="R66" s="14">
        <f t="shared" si="60"/>
        <v>0</v>
      </c>
      <c r="S66" s="16">
        <f t="shared" si="61"/>
        <v>0</v>
      </c>
      <c r="T66" s="15">
        <f t="shared" si="62"/>
        <v>4</v>
      </c>
      <c r="U66" s="54">
        <f t="shared" si="63"/>
        <v>1</v>
      </c>
    </row>
    <row r="67" spans="1:23" ht="29.25" customHeight="1" x14ac:dyDescent="0.25">
      <c r="C67" s="21">
        <v>43066</v>
      </c>
      <c r="D67" s="23" t="s">
        <v>169</v>
      </c>
      <c r="E67" s="24" t="s">
        <v>181</v>
      </c>
      <c r="F67" s="25" t="s">
        <v>180</v>
      </c>
      <c r="G67" s="6" t="s">
        <v>9</v>
      </c>
      <c r="H67" s="6" t="s">
        <v>9</v>
      </c>
      <c r="I67" s="29"/>
      <c r="J67" s="29"/>
      <c r="K67" s="27"/>
      <c r="L67" s="27"/>
      <c r="M67" s="30"/>
      <c r="N67" s="33">
        <v>137</v>
      </c>
      <c r="P67" s="16">
        <f t="shared" si="64"/>
        <v>0</v>
      </c>
      <c r="Q67" s="15">
        <f t="shared" si="59"/>
        <v>0</v>
      </c>
      <c r="R67" s="14">
        <f t="shared" si="60"/>
        <v>0</v>
      </c>
      <c r="S67" s="16">
        <f t="shared" si="61"/>
        <v>0</v>
      </c>
      <c r="T67" s="15">
        <f t="shared" si="62"/>
        <v>0</v>
      </c>
      <c r="U67" s="54"/>
      <c r="V67" t="s">
        <v>182</v>
      </c>
    </row>
    <row r="68" spans="1:23" ht="29.25" customHeight="1" x14ac:dyDescent="0.25">
      <c r="C68" s="21">
        <v>43067</v>
      </c>
      <c r="D68" s="23" t="s">
        <v>169</v>
      </c>
      <c r="E68" s="24" t="s">
        <v>184</v>
      </c>
      <c r="F68" s="26" t="s">
        <v>183</v>
      </c>
      <c r="G68" s="7" t="s">
        <v>11</v>
      </c>
      <c r="H68" s="7" t="s">
        <v>11</v>
      </c>
      <c r="I68" s="29" t="s">
        <v>147</v>
      </c>
      <c r="J68" s="62" t="s">
        <v>172</v>
      </c>
      <c r="K68" s="29" t="s">
        <v>50</v>
      </c>
      <c r="L68" s="29"/>
      <c r="M68" s="29"/>
      <c r="N68" s="33">
        <v>0</v>
      </c>
      <c r="P68" s="16">
        <f t="shared" si="64"/>
        <v>1</v>
      </c>
      <c r="Q68" s="15">
        <f t="shared" si="59"/>
        <v>1</v>
      </c>
      <c r="R68" s="14">
        <f t="shared" si="60"/>
        <v>3</v>
      </c>
      <c r="S68" s="16">
        <f t="shared" si="61"/>
        <v>0</v>
      </c>
      <c r="T68" s="15">
        <f t="shared" si="62"/>
        <v>0</v>
      </c>
      <c r="U68" s="54">
        <f t="shared" ref="U68:U72" si="65">Q68/(SUM(P68,Q68))</f>
        <v>0.5</v>
      </c>
      <c r="V68" t="s">
        <v>186</v>
      </c>
    </row>
    <row r="69" spans="1:23" ht="29.25" customHeight="1" x14ac:dyDescent="0.25">
      <c r="C69" s="21">
        <v>43067</v>
      </c>
      <c r="D69" s="23" t="s">
        <v>169</v>
      </c>
      <c r="E69" s="24" t="s">
        <v>188</v>
      </c>
      <c r="F69" s="26" t="s">
        <v>187</v>
      </c>
      <c r="G69" s="7" t="s">
        <v>11</v>
      </c>
      <c r="H69" s="9" t="s">
        <v>24</v>
      </c>
      <c r="I69" s="29"/>
      <c r="J69" s="29" t="s">
        <v>190</v>
      </c>
      <c r="K69" s="29" t="s">
        <v>12</v>
      </c>
      <c r="L69" s="29"/>
      <c r="M69" s="29"/>
      <c r="N69" s="33">
        <v>136</v>
      </c>
      <c r="P69" s="16">
        <f t="shared" si="64"/>
        <v>0</v>
      </c>
      <c r="Q69" s="15">
        <f t="shared" si="59"/>
        <v>4</v>
      </c>
      <c r="R69" s="14">
        <f t="shared" si="60"/>
        <v>0</v>
      </c>
      <c r="S69" s="16">
        <f t="shared" si="61"/>
        <v>0</v>
      </c>
      <c r="T69" s="15">
        <f t="shared" si="62"/>
        <v>0</v>
      </c>
      <c r="U69" s="54">
        <f t="shared" si="65"/>
        <v>1</v>
      </c>
    </row>
    <row r="70" spans="1:23" ht="29.25" customHeight="1" x14ac:dyDescent="0.25">
      <c r="C70" s="21">
        <v>43067</v>
      </c>
      <c r="D70" s="23" t="s">
        <v>169</v>
      </c>
      <c r="E70" s="24" t="s">
        <v>192</v>
      </c>
      <c r="F70" s="26" t="s">
        <v>191</v>
      </c>
      <c r="G70" s="7" t="s">
        <v>11</v>
      </c>
      <c r="H70" s="9" t="s">
        <v>24</v>
      </c>
      <c r="I70" s="29"/>
      <c r="J70" s="29" t="s">
        <v>193</v>
      </c>
      <c r="K70" s="29" t="s">
        <v>12</v>
      </c>
      <c r="L70" s="29"/>
      <c r="M70" s="29" t="s">
        <v>110</v>
      </c>
      <c r="N70" s="33">
        <v>1</v>
      </c>
      <c r="P70" s="16">
        <f t="shared" si="64"/>
        <v>0</v>
      </c>
      <c r="Q70" s="15">
        <f t="shared" si="59"/>
        <v>3</v>
      </c>
      <c r="R70" s="14">
        <f t="shared" si="60"/>
        <v>0</v>
      </c>
      <c r="S70" s="16">
        <f t="shared" si="61"/>
        <v>0</v>
      </c>
      <c r="T70" s="15">
        <f t="shared" si="62"/>
        <v>1</v>
      </c>
      <c r="U70" s="54">
        <f t="shared" si="65"/>
        <v>1</v>
      </c>
    </row>
    <row r="71" spans="1:23" ht="29.25" customHeight="1" x14ac:dyDescent="0.25">
      <c r="C71" s="21">
        <v>43067</v>
      </c>
      <c r="D71" s="23" t="s">
        <v>169</v>
      </c>
      <c r="E71" s="24" t="s">
        <v>195</v>
      </c>
      <c r="F71" s="26" t="s">
        <v>194</v>
      </c>
      <c r="G71" s="6" t="s">
        <v>9</v>
      </c>
      <c r="H71" s="19" t="s">
        <v>39</v>
      </c>
      <c r="I71" s="29" t="s">
        <v>196</v>
      </c>
      <c r="J71" s="62" t="s">
        <v>172</v>
      </c>
      <c r="K71" s="29" t="s">
        <v>36</v>
      </c>
      <c r="L71" s="29"/>
      <c r="M71" s="29" t="s">
        <v>414</v>
      </c>
      <c r="N71" s="33">
        <v>6</v>
      </c>
      <c r="P71" s="16">
        <f t="shared" si="64"/>
        <v>4</v>
      </c>
      <c r="Q71" s="15">
        <f t="shared" si="59"/>
        <v>1</v>
      </c>
      <c r="R71" s="14">
        <f t="shared" si="60"/>
        <v>1</v>
      </c>
      <c r="S71" s="16">
        <f t="shared" si="61"/>
        <v>0</v>
      </c>
      <c r="T71" s="15">
        <f t="shared" si="62"/>
        <v>0</v>
      </c>
      <c r="U71" s="54">
        <f t="shared" si="65"/>
        <v>0.2</v>
      </c>
      <c r="V71" t="s">
        <v>198</v>
      </c>
    </row>
    <row r="72" spans="1:23" ht="29.25" customHeight="1" x14ac:dyDescent="0.25">
      <c r="C72" s="21">
        <v>43067</v>
      </c>
      <c r="D72" s="23" t="s">
        <v>169</v>
      </c>
      <c r="E72" s="24" t="s">
        <v>200</v>
      </c>
      <c r="F72" s="26" t="s">
        <v>199</v>
      </c>
      <c r="G72" s="58" t="s">
        <v>197</v>
      </c>
      <c r="H72" s="6" t="s">
        <v>9</v>
      </c>
      <c r="I72" s="29" t="s">
        <v>201</v>
      </c>
      <c r="J72" s="29"/>
      <c r="K72" s="29"/>
      <c r="L72" s="29"/>
      <c r="M72" s="29"/>
      <c r="N72" s="33">
        <v>5</v>
      </c>
      <c r="P72" s="16">
        <f t="shared" si="64"/>
        <v>1</v>
      </c>
      <c r="Q72" s="15">
        <f t="shared" si="59"/>
        <v>0</v>
      </c>
      <c r="R72" s="14">
        <f t="shared" si="60"/>
        <v>0</v>
      </c>
      <c r="S72" s="16">
        <f t="shared" si="61"/>
        <v>0</v>
      </c>
      <c r="T72" s="15">
        <f t="shared" si="62"/>
        <v>0</v>
      </c>
      <c r="U72" s="54">
        <f t="shared" si="65"/>
        <v>0</v>
      </c>
      <c r="V72" t="s">
        <v>202</v>
      </c>
    </row>
    <row r="73" spans="1:23" ht="29.25" customHeight="1" thickBot="1" x14ac:dyDescent="0.3">
      <c r="C73" s="22"/>
      <c r="F73" s="2"/>
      <c r="O73" t="s">
        <v>71</v>
      </c>
      <c r="P73" s="45">
        <f>SUM(P64:P72)</f>
        <v>9</v>
      </c>
      <c r="Q73" s="46">
        <f>SUM(Q64:Q72)</f>
        <v>16</v>
      </c>
      <c r="R73" s="44">
        <f>COUNTIF(R64:R72,"&gt;1")</f>
        <v>3</v>
      </c>
      <c r="S73" s="45">
        <f>SUM(S64:S72)</f>
        <v>0</v>
      </c>
      <c r="T73" s="46">
        <f>SUM(T64:T72)</f>
        <v>7</v>
      </c>
      <c r="U73" s="56">
        <f>AVERAGE(U64:U72)</f>
        <v>0.60833333333333328</v>
      </c>
      <c r="V73" s="54" t="s">
        <v>119</v>
      </c>
      <c r="W73" s="56">
        <f>MEDIAN(U64:U72)</f>
        <v>0.58333333333333326</v>
      </c>
    </row>
    <row r="74" spans="1:23" ht="29.25" customHeight="1" thickBot="1" x14ac:dyDescent="0.3">
      <c r="W74" s="43"/>
    </row>
    <row r="75" spans="1:23" ht="29.25" customHeight="1" x14ac:dyDescent="0.25">
      <c r="C75" s="20" t="s">
        <v>4</v>
      </c>
      <c r="D75" s="20" t="s">
        <v>1</v>
      </c>
      <c r="E75" s="20" t="s">
        <v>70</v>
      </c>
      <c r="F75" s="20" t="s">
        <v>3</v>
      </c>
      <c r="G75" s="20" t="s">
        <v>2</v>
      </c>
      <c r="H75" s="20" t="s">
        <v>6</v>
      </c>
      <c r="I75" s="20" t="s">
        <v>25</v>
      </c>
      <c r="J75" s="20" t="s">
        <v>26</v>
      </c>
      <c r="K75" s="20" t="s">
        <v>19</v>
      </c>
      <c r="L75" s="20" t="s">
        <v>28</v>
      </c>
      <c r="M75" s="20" t="s">
        <v>27</v>
      </c>
      <c r="N75" s="20" t="s">
        <v>7</v>
      </c>
      <c r="P75" s="12" t="s">
        <v>29</v>
      </c>
      <c r="Q75" s="13" t="s">
        <v>30</v>
      </c>
      <c r="R75" s="11" t="s">
        <v>31</v>
      </c>
      <c r="S75" s="12" t="s">
        <v>32</v>
      </c>
      <c r="T75" s="13" t="s">
        <v>422</v>
      </c>
      <c r="V75" s="43"/>
      <c r="W75" s="43"/>
    </row>
    <row r="76" spans="1:23" ht="29.25" customHeight="1" x14ac:dyDescent="0.25">
      <c r="A76" s="8"/>
      <c r="C76" s="21">
        <v>43066</v>
      </c>
      <c r="D76" s="23" t="s">
        <v>203</v>
      </c>
      <c r="E76" s="24" t="s">
        <v>205</v>
      </c>
      <c r="F76" s="25" t="s">
        <v>204</v>
      </c>
      <c r="G76" s="7" t="s">
        <v>11</v>
      </c>
      <c r="H76" s="7" t="s">
        <v>11</v>
      </c>
      <c r="I76" s="27"/>
      <c r="J76" s="59" t="s">
        <v>259</v>
      </c>
      <c r="K76" s="27" t="s">
        <v>36</v>
      </c>
      <c r="L76" s="27"/>
      <c r="M76" s="30" t="s">
        <v>206</v>
      </c>
      <c r="N76" s="33">
        <v>1860</v>
      </c>
      <c r="P76" s="16">
        <f>LEN(I76)-LEN(SUBSTITUTE(I76,",",""))</f>
        <v>0</v>
      </c>
      <c r="Q76" s="15">
        <f t="shared" ref="Q76:Q79" si="66">LEN(J76)-LEN(SUBSTITUTE(J76,",",""))</f>
        <v>6</v>
      </c>
      <c r="R76" s="18">
        <f t="shared" ref="R76:R79" si="67">LEN(K76)-LEN(SUBSTITUTE(K76,",",""))</f>
        <v>1</v>
      </c>
      <c r="S76" s="16">
        <f t="shared" ref="S76:S79" si="68">LEN(L76)-LEN(SUBSTITUTE(L76,",",""))</f>
        <v>0</v>
      </c>
      <c r="T76" s="15">
        <f t="shared" ref="T76:T79" si="69">LEN(M76)-LEN(SUBSTITUTE(M76,",",""))</f>
        <v>4</v>
      </c>
      <c r="U76" s="54">
        <f t="shared" ref="U76:U78" si="70">Q76/(SUM(P76,Q76))</f>
        <v>1</v>
      </c>
      <c r="V76" s="43"/>
      <c r="W76" s="43"/>
    </row>
    <row r="77" spans="1:23" ht="29.25" customHeight="1" x14ac:dyDescent="0.25">
      <c r="C77" s="21">
        <v>43066</v>
      </c>
      <c r="D77" s="23" t="s">
        <v>203</v>
      </c>
      <c r="E77" s="24" t="s">
        <v>208</v>
      </c>
      <c r="F77" s="25" t="s">
        <v>207</v>
      </c>
      <c r="G77" s="6" t="s">
        <v>9</v>
      </c>
      <c r="H77" s="6" t="s">
        <v>9</v>
      </c>
      <c r="I77" s="27"/>
      <c r="J77" s="59"/>
      <c r="K77" s="27"/>
      <c r="L77" s="27"/>
      <c r="M77" s="28"/>
      <c r="N77" s="33">
        <v>21</v>
      </c>
      <c r="P77" s="16">
        <f>LEN(I77)-LEN(SUBSTITUTE(I77,",",""))</f>
        <v>0</v>
      </c>
      <c r="Q77" s="15">
        <f t="shared" si="66"/>
        <v>0</v>
      </c>
      <c r="R77" s="18">
        <f t="shared" si="67"/>
        <v>0</v>
      </c>
      <c r="S77" s="16">
        <f t="shared" si="68"/>
        <v>0</v>
      </c>
      <c r="T77" s="15">
        <f t="shared" si="69"/>
        <v>0</v>
      </c>
      <c r="U77" s="54"/>
      <c r="V77" s="43" t="s">
        <v>209</v>
      </c>
      <c r="W77" s="43"/>
    </row>
    <row r="78" spans="1:23" ht="29.25" customHeight="1" x14ac:dyDescent="0.25">
      <c r="C78" s="21">
        <v>43067</v>
      </c>
      <c r="D78" s="23" t="s">
        <v>203</v>
      </c>
      <c r="E78" s="24" t="s">
        <v>211</v>
      </c>
      <c r="F78" s="25" t="s">
        <v>210</v>
      </c>
      <c r="G78" s="6" t="s">
        <v>9</v>
      </c>
      <c r="H78" s="58" t="s">
        <v>197</v>
      </c>
      <c r="I78" s="29" t="s">
        <v>212</v>
      </c>
      <c r="J78" s="59" t="s">
        <v>12</v>
      </c>
      <c r="K78" s="27"/>
      <c r="L78" s="27"/>
      <c r="M78" s="34" t="s">
        <v>415</v>
      </c>
      <c r="N78" s="33">
        <v>750</v>
      </c>
      <c r="P78" s="16">
        <f t="shared" ref="P78:P79" si="71">LEN(I78)-LEN(SUBSTITUTE(I78,",",""))</f>
        <v>2</v>
      </c>
      <c r="Q78" s="15">
        <f t="shared" si="66"/>
        <v>0</v>
      </c>
      <c r="R78" s="14">
        <f t="shared" si="67"/>
        <v>0</v>
      </c>
      <c r="S78" s="16">
        <f t="shared" si="68"/>
        <v>0</v>
      </c>
      <c r="T78" s="15">
        <f t="shared" si="69"/>
        <v>0</v>
      </c>
      <c r="U78" s="54">
        <f t="shared" si="70"/>
        <v>0</v>
      </c>
      <c r="V78" s="43" t="s">
        <v>213</v>
      </c>
      <c r="W78" s="43"/>
    </row>
    <row r="79" spans="1:23" ht="29.25" customHeight="1" x14ac:dyDescent="0.25">
      <c r="C79" s="21">
        <v>43067</v>
      </c>
      <c r="D79" s="23" t="s">
        <v>203</v>
      </c>
      <c r="E79" s="24" t="s">
        <v>215</v>
      </c>
      <c r="F79" s="25" t="s">
        <v>214</v>
      </c>
      <c r="G79" s="6" t="s">
        <v>9</v>
      </c>
      <c r="H79" s="6" t="s">
        <v>9</v>
      </c>
      <c r="I79" s="27"/>
      <c r="J79" s="59"/>
      <c r="K79" s="27"/>
      <c r="L79" s="27"/>
      <c r="M79" s="28"/>
      <c r="N79" s="33">
        <v>11</v>
      </c>
      <c r="P79" s="16">
        <f t="shared" si="71"/>
        <v>0</v>
      </c>
      <c r="Q79" s="15">
        <f t="shared" si="66"/>
        <v>0</v>
      </c>
      <c r="R79" s="14">
        <f t="shared" si="67"/>
        <v>0</v>
      </c>
      <c r="S79" s="16">
        <f t="shared" si="68"/>
        <v>0</v>
      </c>
      <c r="T79" s="15">
        <f t="shared" si="69"/>
        <v>0</v>
      </c>
      <c r="U79" s="54"/>
      <c r="V79" s="43" t="s">
        <v>216</v>
      </c>
      <c r="W79" s="43"/>
    </row>
    <row r="80" spans="1:23" ht="29.25" customHeight="1" thickBot="1" x14ac:dyDescent="0.3">
      <c r="C80" s="51"/>
      <c r="D80" s="47"/>
      <c r="E80" s="48"/>
      <c r="F80" s="52"/>
      <c r="G80" s="49"/>
      <c r="H80" s="49"/>
      <c r="I80" s="53"/>
      <c r="J80" s="60"/>
      <c r="K80" s="60"/>
      <c r="L80" s="53"/>
      <c r="M80" s="53"/>
      <c r="N80" s="50"/>
      <c r="O80" t="s">
        <v>71</v>
      </c>
      <c r="P80" s="45">
        <f>SUM(P76:P79)</f>
        <v>2</v>
      </c>
      <c r="Q80" s="46">
        <f>SUM(Q76:Q79)</f>
        <v>6</v>
      </c>
      <c r="R80" s="44">
        <f>COUNTIF(R76:R79,"&gt;1")</f>
        <v>0</v>
      </c>
      <c r="S80" s="45">
        <f>SUM(S76:S79)</f>
        <v>0</v>
      </c>
      <c r="T80" s="46">
        <f>SUM(T76:T79)</f>
        <v>4</v>
      </c>
      <c r="U80" s="56">
        <f>AVERAGE(U76:U79)</f>
        <v>0.5</v>
      </c>
      <c r="V80" s="54" t="s">
        <v>119</v>
      </c>
      <c r="W80" s="56">
        <f>MEDIAN(U76:U79)</f>
        <v>0.5</v>
      </c>
    </row>
    <row r="81" spans="1:23" ht="29.25" customHeight="1" thickBot="1" x14ac:dyDescent="0.3"/>
    <row r="82" spans="1:23" ht="29.25" customHeight="1" x14ac:dyDescent="0.25">
      <c r="C82" s="20" t="s">
        <v>4</v>
      </c>
      <c r="D82" s="20" t="s">
        <v>1</v>
      </c>
      <c r="E82" s="20" t="s">
        <v>70</v>
      </c>
      <c r="F82" s="20" t="s">
        <v>3</v>
      </c>
      <c r="G82" s="20" t="s">
        <v>2</v>
      </c>
      <c r="H82" s="20" t="s">
        <v>6</v>
      </c>
      <c r="I82" s="20" t="s">
        <v>25</v>
      </c>
      <c r="J82" s="20" t="s">
        <v>26</v>
      </c>
      <c r="K82" s="20" t="s">
        <v>19</v>
      </c>
      <c r="L82" s="20" t="s">
        <v>28</v>
      </c>
      <c r="M82" s="20" t="s">
        <v>27</v>
      </c>
      <c r="N82" s="20" t="s">
        <v>7</v>
      </c>
      <c r="P82" s="12" t="s">
        <v>29</v>
      </c>
      <c r="Q82" s="13" t="s">
        <v>30</v>
      </c>
      <c r="R82" s="11" t="s">
        <v>31</v>
      </c>
      <c r="S82" s="12" t="s">
        <v>32</v>
      </c>
      <c r="T82" s="13" t="s">
        <v>422</v>
      </c>
      <c r="U82" s="55" t="s">
        <v>115</v>
      </c>
      <c r="V82" s="3"/>
    </row>
    <row r="83" spans="1:23" ht="29.25" customHeight="1" x14ac:dyDescent="0.25">
      <c r="A83" s="8"/>
      <c r="C83" s="21">
        <v>43066</v>
      </c>
      <c r="D83" s="23" t="s">
        <v>217</v>
      </c>
      <c r="E83" s="24" t="s">
        <v>218</v>
      </c>
      <c r="F83" s="25" t="s">
        <v>221</v>
      </c>
      <c r="G83" s="6" t="s">
        <v>9</v>
      </c>
      <c r="H83" s="6" t="s">
        <v>9</v>
      </c>
      <c r="I83" s="27"/>
      <c r="J83" s="62"/>
      <c r="K83" s="29"/>
      <c r="L83" s="27"/>
      <c r="M83" s="30"/>
      <c r="N83" s="33">
        <v>3280</v>
      </c>
      <c r="P83" s="16">
        <f>LEN(I83)-LEN(SUBSTITUTE(I83,",",""))</f>
        <v>0</v>
      </c>
      <c r="Q83" s="15">
        <f t="shared" ref="Q83:Q91" si="72">LEN(J83)-LEN(SUBSTITUTE(J83,",",""))</f>
        <v>0</v>
      </c>
      <c r="R83" s="18">
        <f t="shared" ref="R83:R91" si="73">LEN(K83)-LEN(SUBSTITUTE(K83,",",""))</f>
        <v>0</v>
      </c>
      <c r="S83" s="16">
        <f t="shared" ref="S83:S91" si="74">LEN(L83)-LEN(SUBSTITUTE(L83,",",""))</f>
        <v>0</v>
      </c>
      <c r="T83" s="15">
        <f t="shared" ref="T83:T91" si="75">LEN(M83)-LEN(SUBSTITUTE(M83,",",""))</f>
        <v>0</v>
      </c>
      <c r="U83" s="54"/>
      <c r="V83" t="s">
        <v>219</v>
      </c>
    </row>
    <row r="84" spans="1:23" ht="29.25" customHeight="1" x14ac:dyDescent="0.25">
      <c r="C84" s="21">
        <v>43066</v>
      </c>
      <c r="D84" s="23" t="s">
        <v>217</v>
      </c>
      <c r="E84" s="24" t="s">
        <v>222</v>
      </c>
      <c r="F84" s="25" t="s">
        <v>220</v>
      </c>
      <c r="G84" s="6" t="s">
        <v>9</v>
      </c>
      <c r="H84" s="6" t="s">
        <v>9</v>
      </c>
      <c r="I84" s="27"/>
      <c r="J84" s="59"/>
      <c r="K84" s="29"/>
      <c r="L84" s="27"/>
      <c r="M84" s="27"/>
      <c r="N84" s="33">
        <v>54</v>
      </c>
      <c r="P84" s="16">
        <f>LEN(I84)-LEN(SUBSTITUTE(I84,",",""))</f>
        <v>0</v>
      </c>
      <c r="Q84" s="15">
        <f t="shared" si="72"/>
        <v>0</v>
      </c>
      <c r="R84" s="18">
        <f t="shared" si="73"/>
        <v>0</v>
      </c>
      <c r="S84" s="16">
        <f t="shared" si="74"/>
        <v>0</v>
      </c>
      <c r="T84" s="15">
        <f t="shared" si="75"/>
        <v>0</v>
      </c>
      <c r="U84" s="54"/>
      <c r="V84" t="s">
        <v>223</v>
      </c>
    </row>
    <row r="85" spans="1:23" ht="29.25" customHeight="1" x14ac:dyDescent="0.25">
      <c r="C85" s="21">
        <v>43066</v>
      </c>
      <c r="D85" s="23" t="s">
        <v>217</v>
      </c>
      <c r="E85" s="24" t="s">
        <v>225</v>
      </c>
      <c r="F85" s="25" t="s">
        <v>224</v>
      </c>
      <c r="G85" s="6" t="s">
        <v>9</v>
      </c>
      <c r="H85" s="7" t="s">
        <v>11</v>
      </c>
      <c r="I85" s="27" t="s">
        <v>226</v>
      </c>
      <c r="J85" s="29" t="s">
        <v>227</v>
      </c>
      <c r="K85" s="27"/>
      <c r="L85" s="27"/>
      <c r="M85" s="30" t="s">
        <v>160</v>
      </c>
      <c r="N85" s="33">
        <v>1440</v>
      </c>
      <c r="P85" s="16">
        <f t="shared" ref="P85:P91" si="76">LEN(I85)-LEN(SUBSTITUTE(I85,",",""))</f>
        <v>1</v>
      </c>
      <c r="Q85" s="15">
        <f t="shared" si="72"/>
        <v>3</v>
      </c>
      <c r="R85" s="14">
        <f t="shared" si="73"/>
        <v>0</v>
      </c>
      <c r="S85" s="16">
        <f t="shared" si="74"/>
        <v>0</v>
      </c>
      <c r="T85" s="15">
        <f t="shared" si="75"/>
        <v>4</v>
      </c>
      <c r="U85" s="54">
        <f t="shared" ref="U85:U86" si="77">Q85/(SUM(P85,Q85))</f>
        <v>0.75</v>
      </c>
    </row>
    <row r="86" spans="1:23" ht="29.25" customHeight="1" x14ac:dyDescent="0.25">
      <c r="C86" s="21">
        <v>43066</v>
      </c>
      <c r="D86" s="23" t="s">
        <v>217</v>
      </c>
      <c r="E86" s="24" t="s">
        <v>229</v>
      </c>
      <c r="F86" s="25" t="s">
        <v>228</v>
      </c>
      <c r="G86" s="58" t="s">
        <v>197</v>
      </c>
      <c r="H86" s="58" t="s">
        <v>197</v>
      </c>
      <c r="I86" s="29" t="s">
        <v>127</v>
      </c>
      <c r="J86" s="29" t="s">
        <v>230</v>
      </c>
      <c r="K86" s="27"/>
      <c r="L86" s="27"/>
      <c r="M86" s="30" t="s">
        <v>416</v>
      </c>
      <c r="N86" s="33">
        <v>8</v>
      </c>
      <c r="P86" s="16">
        <f t="shared" si="76"/>
        <v>2</v>
      </c>
      <c r="Q86" s="15">
        <f t="shared" si="72"/>
        <v>2</v>
      </c>
      <c r="R86" s="14">
        <f t="shared" si="73"/>
        <v>0</v>
      </c>
      <c r="S86" s="16">
        <f t="shared" si="74"/>
        <v>0</v>
      </c>
      <c r="T86" s="15">
        <f t="shared" si="75"/>
        <v>1</v>
      </c>
      <c r="U86" s="54">
        <f t="shared" si="77"/>
        <v>0.5</v>
      </c>
      <c r="V86" t="s">
        <v>237</v>
      </c>
    </row>
    <row r="87" spans="1:23" ht="29.25" customHeight="1" x14ac:dyDescent="0.25">
      <c r="C87" s="21">
        <v>43066</v>
      </c>
      <c r="D87" s="23" t="s">
        <v>217</v>
      </c>
      <c r="E87" s="24" t="s">
        <v>232</v>
      </c>
      <c r="F87" s="26" t="s">
        <v>231</v>
      </c>
      <c r="G87" s="6" t="s">
        <v>9</v>
      </c>
      <c r="H87" s="7" t="s">
        <v>11</v>
      </c>
      <c r="I87" s="29" t="s">
        <v>233</v>
      </c>
      <c r="J87" s="62" t="s">
        <v>234</v>
      </c>
      <c r="K87" s="29"/>
      <c r="L87" s="29" t="s">
        <v>12</v>
      </c>
      <c r="M87" s="29" t="s">
        <v>417</v>
      </c>
      <c r="N87" s="33">
        <v>256</v>
      </c>
      <c r="P87" s="16">
        <f t="shared" si="76"/>
        <v>1</v>
      </c>
      <c r="Q87" s="15">
        <f t="shared" si="72"/>
        <v>4</v>
      </c>
      <c r="R87" s="14">
        <f t="shared" si="73"/>
        <v>0</v>
      </c>
      <c r="S87" s="16">
        <f t="shared" si="74"/>
        <v>0</v>
      </c>
      <c r="T87" s="15">
        <f t="shared" si="75"/>
        <v>4</v>
      </c>
      <c r="U87" s="54">
        <f t="shared" ref="U87:U91" si="78">Q87/(SUM(P87,Q87))</f>
        <v>0.8</v>
      </c>
    </row>
    <row r="88" spans="1:23" ht="29.25" customHeight="1" x14ac:dyDescent="0.25">
      <c r="C88" s="21">
        <v>43066</v>
      </c>
      <c r="D88" s="23" t="s">
        <v>217</v>
      </c>
      <c r="E88" s="24" t="s">
        <v>236</v>
      </c>
      <c r="F88" s="26" t="s">
        <v>235</v>
      </c>
      <c r="G88" s="6" t="s">
        <v>9</v>
      </c>
      <c r="H88" s="6" t="s">
        <v>9</v>
      </c>
      <c r="I88" s="29"/>
      <c r="J88" s="29"/>
      <c r="K88" s="29"/>
      <c r="L88" s="29"/>
      <c r="M88" s="29"/>
      <c r="N88" s="33">
        <v>59</v>
      </c>
      <c r="P88" s="16">
        <f t="shared" si="76"/>
        <v>0</v>
      </c>
      <c r="Q88" s="15">
        <f t="shared" si="72"/>
        <v>0</v>
      </c>
      <c r="R88" s="14">
        <f t="shared" si="73"/>
        <v>0</v>
      </c>
      <c r="S88" s="16">
        <f t="shared" si="74"/>
        <v>0</v>
      </c>
      <c r="T88" s="15">
        <f t="shared" si="75"/>
        <v>0</v>
      </c>
      <c r="U88" s="54"/>
      <c r="V88" t="s">
        <v>238</v>
      </c>
    </row>
    <row r="89" spans="1:23" ht="29.25" customHeight="1" x14ac:dyDescent="0.25">
      <c r="C89" s="21">
        <v>43066</v>
      </c>
      <c r="D89" s="23" t="s">
        <v>217</v>
      </c>
      <c r="E89" s="24" t="s">
        <v>240</v>
      </c>
      <c r="F89" s="26" t="s">
        <v>239</v>
      </c>
      <c r="G89" s="6" t="s">
        <v>9</v>
      </c>
      <c r="H89" s="9" t="s">
        <v>24</v>
      </c>
      <c r="I89" s="29"/>
      <c r="J89" s="29" t="s">
        <v>241</v>
      </c>
      <c r="K89" s="29"/>
      <c r="L89" s="29" t="s">
        <v>12</v>
      </c>
      <c r="M89" s="29" t="s">
        <v>12</v>
      </c>
      <c r="N89" s="33">
        <v>141</v>
      </c>
      <c r="P89" s="16">
        <f t="shared" si="76"/>
        <v>0</v>
      </c>
      <c r="Q89" s="15">
        <f t="shared" si="72"/>
        <v>6</v>
      </c>
      <c r="R89" s="14">
        <f t="shared" si="73"/>
        <v>0</v>
      </c>
      <c r="S89" s="16">
        <f t="shared" si="74"/>
        <v>0</v>
      </c>
      <c r="T89" s="15">
        <f t="shared" si="75"/>
        <v>0</v>
      </c>
      <c r="U89" s="54">
        <f t="shared" si="78"/>
        <v>1</v>
      </c>
    </row>
    <row r="90" spans="1:23" ht="29.25" customHeight="1" x14ac:dyDescent="0.25">
      <c r="C90" s="21">
        <v>43067</v>
      </c>
      <c r="D90" s="23" t="s">
        <v>217</v>
      </c>
      <c r="E90" s="24" t="s">
        <v>243</v>
      </c>
      <c r="F90" s="26" t="s">
        <v>242</v>
      </c>
      <c r="G90" s="58" t="s">
        <v>197</v>
      </c>
      <c r="H90" s="19" t="s">
        <v>39</v>
      </c>
      <c r="I90" s="29" t="s">
        <v>196</v>
      </c>
      <c r="J90" s="62" t="s">
        <v>172</v>
      </c>
      <c r="K90" s="29" t="s">
        <v>36</v>
      </c>
      <c r="L90" s="29"/>
      <c r="M90" s="29" t="s">
        <v>414</v>
      </c>
      <c r="N90" s="33">
        <v>21</v>
      </c>
      <c r="P90" s="16">
        <f t="shared" si="76"/>
        <v>4</v>
      </c>
      <c r="Q90" s="15">
        <f t="shared" si="72"/>
        <v>1</v>
      </c>
      <c r="R90" s="14">
        <f t="shared" si="73"/>
        <v>1</v>
      </c>
      <c r="S90" s="16">
        <f t="shared" si="74"/>
        <v>0</v>
      </c>
      <c r="T90" s="15">
        <f t="shared" si="75"/>
        <v>0</v>
      </c>
      <c r="U90" s="54">
        <f t="shared" si="78"/>
        <v>0.2</v>
      </c>
    </row>
    <row r="91" spans="1:23" ht="29.25" customHeight="1" x14ac:dyDescent="0.25">
      <c r="C91" s="21">
        <v>43067</v>
      </c>
      <c r="D91" s="23" t="s">
        <v>217</v>
      </c>
      <c r="E91" s="24" t="s">
        <v>200</v>
      </c>
      <c r="F91" s="26" t="s">
        <v>245</v>
      </c>
      <c r="G91" s="58" t="s">
        <v>197</v>
      </c>
      <c r="H91" s="6" t="s">
        <v>9</v>
      </c>
      <c r="I91" s="29" t="s">
        <v>290</v>
      </c>
      <c r="J91" s="29"/>
      <c r="K91" s="29"/>
      <c r="L91" s="29"/>
      <c r="M91" s="29"/>
      <c r="N91" s="33">
        <v>2</v>
      </c>
      <c r="P91" s="16">
        <f t="shared" si="76"/>
        <v>2</v>
      </c>
      <c r="Q91" s="15">
        <f t="shared" si="72"/>
        <v>0</v>
      </c>
      <c r="R91" s="14">
        <f t="shared" si="73"/>
        <v>0</v>
      </c>
      <c r="S91" s="16">
        <f t="shared" si="74"/>
        <v>0</v>
      </c>
      <c r="T91" s="15">
        <f t="shared" si="75"/>
        <v>0</v>
      </c>
      <c r="U91" s="54">
        <f t="shared" si="78"/>
        <v>0</v>
      </c>
    </row>
    <row r="92" spans="1:23" ht="29.25" customHeight="1" x14ac:dyDescent="0.25">
      <c r="C92" s="21">
        <v>43067</v>
      </c>
      <c r="D92" s="23" t="s">
        <v>217</v>
      </c>
      <c r="E92" s="24" t="s">
        <v>244</v>
      </c>
      <c r="F92" s="26" t="s">
        <v>246</v>
      </c>
      <c r="G92" s="6" t="s">
        <v>9</v>
      </c>
      <c r="H92" s="7" t="s">
        <v>11</v>
      </c>
      <c r="I92" s="29"/>
      <c r="J92" s="62" t="s">
        <v>172</v>
      </c>
      <c r="K92" s="29"/>
      <c r="L92" s="29"/>
      <c r="M92" s="29"/>
      <c r="N92" s="33">
        <v>310</v>
      </c>
      <c r="P92" s="16">
        <f t="shared" ref="P92" si="79">LEN(I92)-LEN(SUBSTITUTE(I92,",",""))</f>
        <v>0</v>
      </c>
      <c r="Q92" s="15">
        <f t="shared" ref="Q92" si="80">LEN(J92)-LEN(SUBSTITUTE(J92,",",""))</f>
        <v>1</v>
      </c>
      <c r="R92" s="14">
        <f t="shared" ref="R92" si="81">LEN(K92)-LEN(SUBSTITUTE(K92,",",""))</f>
        <v>0</v>
      </c>
      <c r="S92" s="16">
        <f t="shared" ref="S92" si="82">LEN(L92)-LEN(SUBSTITUTE(L92,",",""))</f>
        <v>0</v>
      </c>
      <c r="T92" s="15">
        <f t="shared" ref="T92" si="83">LEN(M92)-LEN(SUBSTITUTE(M92,",",""))</f>
        <v>0</v>
      </c>
      <c r="U92" s="54">
        <f t="shared" ref="U92" si="84">Q92/(SUM(P92,Q92))</f>
        <v>1</v>
      </c>
      <c r="V92" t="s">
        <v>247</v>
      </c>
    </row>
    <row r="93" spans="1:23" ht="29.25" customHeight="1" x14ac:dyDescent="0.25">
      <c r="C93" s="21">
        <v>43067</v>
      </c>
      <c r="D93" s="23" t="s">
        <v>217</v>
      </c>
      <c r="E93" s="24" t="s">
        <v>249</v>
      </c>
      <c r="F93" s="26" t="s">
        <v>248</v>
      </c>
      <c r="G93" s="19" t="s">
        <v>39</v>
      </c>
      <c r="H93" s="19" t="s">
        <v>39</v>
      </c>
      <c r="I93" s="29" t="s">
        <v>251</v>
      </c>
      <c r="J93" s="29"/>
      <c r="K93" s="29" t="s">
        <v>278</v>
      </c>
      <c r="L93" s="29" t="s">
        <v>250</v>
      </c>
      <c r="M93" s="29"/>
      <c r="N93" s="33">
        <v>887</v>
      </c>
      <c r="P93" s="16">
        <f t="shared" ref="P93:P94" si="85">LEN(I93)-LEN(SUBSTITUTE(I93,",",""))</f>
        <v>2</v>
      </c>
      <c r="Q93" s="15">
        <f t="shared" ref="Q93:Q94" si="86">LEN(J93)-LEN(SUBSTITUTE(J93,",",""))</f>
        <v>0</v>
      </c>
      <c r="R93" s="14">
        <f t="shared" ref="R93:R94" si="87">LEN(K93)-LEN(SUBSTITUTE(K93,",",""))</f>
        <v>2</v>
      </c>
      <c r="S93" s="16">
        <f t="shared" ref="S93:S94" si="88">LEN(L93)-LEN(SUBSTITUTE(L93,",",""))</f>
        <v>1</v>
      </c>
      <c r="T93" s="15">
        <f t="shared" ref="T93:T94" si="89">LEN(M93)-LEN(SUBSTITUTE(M93,",",""))</f>
        <v>0</v>
      </c>
      <c r="U93" s="54">
        <f t="shared" ref="U93" si="90">Q93/(SUM(P93,Q93))</f>
        <v>0</v>
      </c>
      <c r="V93" t="s">
        <v>252</v>
      </c>
    </row>
    <row r="94" spans="1:23" ht="29.25" customHeight="1" x14ac:dyDescent="0.25">
      <c r="C94" s="21">
        <v>43068</v>
      </c>
      <c r="D94" s="23" t="s">
        <v>217</v>
      </c>
      <c r="E94" s="24" t="s">
        <v>254</v>
      </c>
      <c r="F94" s="26" t="s">
        <v>253</v>
      </c>
      <c r="G94" s="6" t="s">
        <v>9</v>
      </c>
      <c r="H94" s="6" t="s">
        <v>9</v>
      </c>
      <c r="I94" s="29"/>
      <c r="J94" s="29"/>
      <c r="K94" s="29"/>
      <c r="L94" s="29"/>
      <c r="M94" s="29"/>
      <c r="N94" s="33">
        <v>1</v>
      </c>
      <c r="P94" s="16">
        <f t="shared" si="85"/>
        <v>0</v>
      </c>
      <c r="Q94" s="15">
        <f t="shared" si="86"/>
        <v>0</v>
      </c>
      <c r="R94" s="14">
        <f t="shared" si="87"/>
        <v>0</v>
      </c>
      <c r="S94" s="16">
        <f t="shared" si="88"/>
        <v>0</v>
      </c>
      <c r="T94" s="15">
        <f t="shared" si="89"/>
        <v>0</v>
      </c>
      <c r="U94" s="54"/>
      <c r="V94" t="s">
        <v>255</v>
      </c>
    </row>
    <row r="95" spans="1:23" ht="29.25" customHeight="1" thickBot="1" x14ac:dyDescent="0.3">
      <c r="C95" s="22"/>
      <c r="F95" s="2"/>
      <c r="O95" t="s">
        <v>71</v>
      </c>
      <c r="P95" s="45">
        <f>SUM(P87:P94)</f>
        <v>9</v>
      </c>
      <c r="Q95" s="46">
        <f>SUM(Q87:Q94)</f>
        <v>12</v>
      </c>
      <c r="R95" s="44">
        <f>COUNTIF(R87:R94,"&gt;1")</f>
        <v>1</v>
      </c>
      <c r="S95" s="45">
        <f>SUM(S87:S94)</f>
        <v>1</v>
      </c>
      <c r="T95" s="46">
        <f>SUM(T87:T94)</f>
        <v>4</v>
      </c>
      <c r="U95" s="56">
        <f>AVERAGE(U83:U94)</f>
        <v>0.53125</v>
      </c>
      <c r="V95" s="54" t="s">
        <v>119</v>
      </c>
      <c r="W95" s="56">
        <f>MEDIAN(U83:U94)</f>
        <v>0.625</v>
      </c>
    </row>
    <row r="96" spans="1:23" ht="29.25" customHeight="1" thickBot="1" x14ac:dyDescent="0.3"/>
    <row r="97" spans="1:23" ht="29.25" customHeight="1" x14ac:dyDescent="0.25">
      <c r="C97" s="20" t="s">
        <v>4</v>
      </c>
      <c r="D97" s="20" t="s">
        <v>1</v>
      </c>
      <c r="E97" s="20" t="s">
        <v>70</v>
      </c>
      <c r="F97" s="20" t="s">
        <v>3</v>
      </c>
      <c r="G97" s="20" t="s">
        <v>2</v>
      </c>
      <c r="H97" s="20" t="s">
        <v>6</v>
      </c>
      <c r="I97" s="20" t="s">
        <v>25</v>
      </c>
      <c r="J97" s="20" t="s">
        <v>26</v>
      </c>
      <c r="K97" s="20" t="s">
        <v>19</v>
      </c>
      <c r="L97" s="20" t="s">
        <v>28</v>
      </c>
      <c r="M97" s="20" t="s">
        <v>27</v>
      </c>
      <c r="N97" s="20" t="s">
        <v>7</v>
      </c>
      <c r="P97" s="12" t="s">
        <v>29</v>
      </c>
      <c r="Q97" s="13" t="s">
        <v>30</v>
      </c>
      <c r="R97" s="11" t="s">
        <v>31</v>
      </c>
      <c r="S97" s="12" t="s">
        <v>32</v>
      </c>
      <c r="T97" s="13" t="s">
        <v>422</v>
      </c>
      <c r="U97" s="55" t="s">
        <v>115</v>
      </c>
      <c r="V97" s="3"/>
    </row>
    <row r="98" spans="1:23" ht="29.25" customHeight="1" x14ac:dyDescent="0.25">
      <c r="A98" s="8"/>
      <c r="C98" s="21">
        <v>43066</v>
      </c>
      <c r="D98" s="23" t="s">
        <v>275</v>
      </c>
      <c r="E98" s="24" t="s">
        <v>175</v>
      </c>
      <c r="F98" s="25" t="s">
        <v>276</v>
      </c>
      <c r="G98" s="9" t="s">
        <v>24</v>
      </c>
      <c r="H98" s="7" t="s">
        <v>11</v>
      </c>
      <c r="I98" s="27" t="s">
        <v>279</v>
      </c>
      <c r="J98" s="62" t="s">
        <v>172</v>
      </c>
      <c r="K98" s="29" t="s">
        <v>277</v>
      </c>
      <c r="L98" s="27"/>
      <c r="M98" s="30" t="s">
        <v>418</v>
      </c>
      <c r="N98" s="33">
        <v>2</v>
      </c>
      <c r="P98" s="16">
        <f>LEN(I98)-LEN(SUBSTITUTE(I98,",",""))</f>
        <v>2</v>
      </c>
      <c r="Q98" s="15">
        <f t="shared" ref="Q98" si="91">LEN(J98)-LEN(SUBSTITUTE(J98,",",""))</f>
        <v>1</v>
      </c>
      <c r="R98" s="18">
        <f t="shared" ref="R98" si="92">LEN(K98)-LEN(SUBSTITUTE(K98,",",""))</f>
        <v>3</v>
      </c>
      <c r="S98" s="16">
        <f t="shared" ref="S98" si="93">LEN(L98)-LEN(SUBSTITUTE(L98,",",""))</f>
        <v>0</v>
      </c>
      <c r="T98" s="15">
        <f t="shared" ref="T98" si="94">LEN(M98)-LEN(SUBSTITUTE(M98,",",""))</f>
        <v>1</v>
      </c>
      <c r="U98" s="54">
        <f t="shared" ref="U98:U104" si="95">Q98/(SUM(P98,Q98))</f>
        <v>0.33333333333333331</v>
      </c>
    </row>
    <row r="99" spans="1:23" ht="29.25" customHeight="1" x14ac:dyDescent="0.25">
      <c r="C99" s="21">
        <v>43066</v>
      </c>
      <c r="D99" s="23" t="s">
        <v>275</v>
      </c>
      <c r="E99" s="24" t="s">
        <v>281</v>
      </c>
      <c r="F99" s="25" t="s">
        <v>280</v>
      </c>
      <c r="G99" s="9" t="s">
        <v>24</v>
      </c>
      <c r="H99" s="7" t="s">
        <v>11</v>
      </c>
      <c r="I99" s="27"/>
      <c r="J99" s="62" t="s">
        <v>172</v>
      </c>
      <c r="K99" s="29" t="s">
        <v>36</v>
      </c>
      <c r="L99" s="27"/>
      <c r="M99" s="27"/>
      <c r="N99" s="33">
        <v>2</v>
      </c>
      <c r="P99" s="16">
        <f t="shared" ref="P99:P105" si="96">LEN(I99)-LEN(SUBSTITUTE(I99,",",""))</f>
        <v>0</v>
      </c>
      <c r="Q99" s="15">
        <f t="shared" ref="Q99:Q105" si="97">LEN(J99)-LEN(SUBSTITUTE(J99,",",""))</f>
        <v>1</v>
      </c>
      <c r="R99" s="18">
        <f t="shared" ref="R99:R105" si="98">LEN(K99)-LEN(SUBSTITUTE(K99,",",""))</f>
        <v>1</v>
      </c>
      <c r="S99" s="16">
        <f t="shared" ref="S99:S105" si="99">LEN(L99)-LEN(SUBSTITUTE(L99,",",""))</f>
        <v>0</v>
      </c>
      <c r="T99" s="15">
        <f t="shared" ref="T99:T105" si="100">LEN(M99)-LEN(SUBSTITUTE(M99,",",""))</f>
        <v>0</v>
      </c>
      <c r="U99" s="54">
        <f t="shared" si="95"/>
        <v>1</v>
      </c>
    </row>
    <row r="100" spans="1:23" ht="29.25" customHeight="1" x14ac:dyDescent="0.25">
      <c r="C100" s="21">
        <v>43066</v>
      </c>
      <c r="D100" s="23" t="s">
        <v>275</v>
      </c>
      <c r="E100" s="24" t="s">
        <v>283</v>
      </c>
      <c r="F100" s="25" t="s">
        <v>282</v>
      </c>
      <c r="G100" s="6" t="s">
        <v>9</v>
      </c>
      <c r="H100" s="7" t="s">
        <v>11</v>
      </c>
      <c r="I100" s="27" t="s">
        <v>284</v>
      </c>
      <c r="J100" s="62" t="s">
        <v>285</v>
      </c>
      <c r="K100" s="29" t="s">
        <v>36</v>
      </c>
      <c r="L100" s="27"/>
      <c r="M100" s="30" t="s">
        <v>418</v>
      </c>
      <c r="N100" s="33">
        <v>4610</v>
      </c>
      <c r="P100" s="16">
        <f t="shared" si="96"/>
        <v>1</v>
      </c>
      <c r="Q100" s="15">
        <f t="shared" si="97"/>
        <v>4</v>
      </c>
      <c r="R100" s="18">
        <f t="shared" si="98"/>
        <v>1</v>
      </c>
      <c r="S100" s="16">
        <f t="shared" si="99"/>
        <v>0</v>
      </c>
      <c r="T100" s="15">
        <f t="shared" si="100"/>
        <v>1</v>
      </c>
      <c r="U100" s="54">
        <f t="shared" si="95"/>
        <v>0.8</v>
      </c>
    </row>
    <row r="101" spans="1:23" ht="29.25" customHeight="1" x14ac:dyDescent="0.25">
      <c r="C101" s="21">
        <v>43067</v>
      </c>
      <c r="D101" s="23" t="s">
        <v>275</v>
      </c>
      <c r="E101" s="24" t="s">
        <v>286</v>
      </c>
      <c r="F101" s="25" t="s">
        <v>287</v>
      </c>
      <c r="G101" s="7" t="s">
        <v>11</v>
      </c>
      <c r="H101" s="7" t="s">
        <v>11</v>
      </c>
      <c r="I101" s="29"/>
      <c r="J101" s="27" t="s">
        <v>288</v>
      </c>
      <c r="K101" s="27"/>
      <c r="L101" s="27"/>
      <c r="M101" s="30" t="s">
        <v>110</v>
      </c>
      <c r="N101" s="33">
        <v>7</v>
      </c>
      <c r="P101" s="16">
        <f t="shared" si="96"/>
        <v>0</v>
      </c>
      <c r="Q101" s="15">
        <f t="shared" si="97"/>
        <v>2</v>
      </c>
      <c r="R101" s="18">
        <f t="shared" si="98"/>
        <v>0</v>
      </c>
      <c r="S101" s="16">
        <f t="shared" si="99"/>
        <v>0</v>
      </c>
      <c r="T101" s="15">
        <f t="shared" si="100"/>
        <v>1</v>
      </c>
      <c r="U101" s="54">
        <f t="shared" si="95"/>
        <v>1</v>
      </c>
    </row>
    <row r="102" spans="1:23" ht="29.25" customHeight="1" x14ac:dyDescent="0.25">
      <c r="C102" s="21">
        <v>43067</v>
      </c>
      <c r="D102" s="23" t="s">
        <v>275</v>
      </c>
      <c r="E102" s="24" t="s">
        <v>200</v>
      </c>
      <c r="F102" s="26" t="s">
        <v>289</v>
      </c>
      <c r="G102" s="58" t="s">
        <v>197</v>
      </c>
      <c r="H102" s="6" t="s">
        <v>9</v>
      </c>
      <c r="I102" s="29" t="s">
        <v>290</v>
      </c>
      <c r="J102" s="29" t="s">
        <v>12</v>
      </c>
      <c r="K102" s="29"/>
      <c r="L102" s="29"/>
      <c r="M102" s="29"/>
      <c r="N102" s="33">
        <v>2</v>
      </c>
      <c r="P102" s="16">
        <f t="shared" si="96"/>
        <v>2</v>
      </c>
      <c r="Q102" s="15">
        <f t="shared" si="97"/>
        <v>0</v>
      </c>
      <c r="R102" s="18">
        <f t="shared" si="98"/>
        <v>0</v>
      </c>
      <c r="S102" s="16">
        <f t="shared" si="99"/>
        <v>0</v>
      </c>
      <c r="T102" s="15">
        <f t="shared" si="100"/>
        <v>0</v>
      </c>
      <c r="U102" s="54">
        <f t="shared" si="95"/>
        <v>0</v>
      </c>
    </row>
    <row r="103" spans="1:23" ht="29.25" customHeight="1" x14ac:dyDescent="0.25">
      <c r="C103" s="21">
        <v>43067</v>
      </c>
      <c r="D103" s="23" t="s">
        <v>275</v>
      </c>
      <c r="E103" s="24" t="s">
        <v>292</v>
      </c>
      <c r="F103" s="26" t="s">
        <v>291</v>
      </c>
      <c r="G103" s="6" t="s">
        <v>9</v>
      </c>
      <c r="H103" s="6" t="s">
        <v>9</v>
      </c>
      <c r="I103" s="29"/>
      <c r="J103" s="62" t="s">
        <v>172</v>
      </c>
      <c r="K103" s="29"/>
      <c r="L103" s="29"/>
      <c r="M103" s="29"/>
      <c r="N103" s="33">
        <v>959</v>
      </c>
      <c r="P103" s="16">
        <f t="shared" si="96"/>
        <v>0</v>
      </c>
      <c r="Q103" s="15">
        <f t="shared" si="97"/>
        <v>1</v>
      </c>
      <c r="R103" s="18">
        <f t="shared" si="98"/>
        <v>0</v>
      </c>
      <c r="S103" s="16">
        <f t="shared" si="99"/>
        <v>0</v>
      </c>
      <c r="T103" s="15">
        <f t="shared" si="100"/>
        <v>0</v>
      </c>
      <c r="U103" s="54">
        <f t="shared" si="95"/>
        <v>1</v>
      </c>
      <c r="V103" t="s">
        <v>238</v>
      </c>
    </row>
    <row r="104" spans="1:23" ht="29.25" customHeight="1" x14ac:dyDescent="0.25">
      <c r="C104" s="21">
        <v>43067</v>
      </c>
      <c r="D104" s="23" t="s">
        <v>275</v>
      </c>
      <c r="E104" s="24" t="s">
        <v>294</v>
      </c>
      <c r="F104" s="26" t="s">
        <v>293</v>
      </c>
      <c r="G104" s="9" t="s">
        <v>24</v>
      </c>
      <c r="H104" s="58" t="s">
        <v>197</v>
      </c>
      <c r="I104" s="27" t="s">
        <v>295</v>
      </c>
      <c r="J104" s="29" t="s">
        <v>296</v>
      </c>
      <c r="K104" s="29"/>
      <c r="L104" s="29" t="s">
        <v>151</v>
      </c>
      <c r="M104" s="29" t="s">
        <v>419</v>
      </c>
      <c r="N104" s="33">
        <v>3</v>
      </c>
      <c r="P104" s="16">
        <f t="shared" si="96"/>
        <v>2</v>
      </c>
      <c r="Q104" s="15">
        <f t="shared" si="97"/>
        <v>0</v>
      </c>
      <c r="R104" s="18">
        <f t="shared" si="98"/>
        <v>0</v>
      </c>
      <c r="S104" s="16">
        <f t="shared" si="99"/>
        <v>1</v>
      </c>
      <c r="T104" s="15">
        <f t="shared" si="100"/>
        <v>0</v>
      </c>
      <c r="U104" s="54">
        <f t="shared" si="95"/>
        <v>0</v>
      </c>
    </row>
    <row r="105" spans="1:23" ht="29.25" customHeight="1" x14ac:dyDescent="0.25">
      <c r="C105" s="21">
        <v>43068</v>
      </c>
      <c r="D105" s="23" t="s">
        <v>275</v>
      </c>
      <c r="E105" s="24" t="s">
        <v>298</v>
      </c>
      <c r="F105" s="26" t="s">
        <v>297</v>
      </c>
      <c r="G105" s="6" t="s">
        <v>9</v>
      </c>
      <c r="H105" s="6" t="s">
        <v>9</v>
      </c>
      <c r="I105" s="29"/>
      <c r="J105" s="62"/>
      <c r="K105" s="29"/>
      <c r="L105" s="29"/>
      <c r="M105" s="29"/>
      <c r="N105" s="33">
        <v>0</v>
      </c>
      <c r="P105" s="16">
        <f t="shared" si="96"/>
        <v>0</v>
      </c>
      <c r="Q105" s="15">
        <f t="shared" si="97"/>
        <v>0</v>
      </c>
      <c r="R105" s="18">
        <f t="shared" si="98"/>
        <v>0</v>
      </c>
      <c r="S105" s="16">
        <f t="shared" si="99"/>
        <v>0</v>
      </c>
      <c r="T105" s="15">
        <f t="shared" si="100"/>
        <v>0</v>
      </c>
      <c r="U105" s="54"/>
      <c r="V105" t="s">
        <v>299</v>
      </c>
    </row>
    <row r="106" spans="1:23" ht="29.25" customHeight="1" thickBot="1" x14ac:dyDescent="0.3">
      <c r="C106" s="22"/>
      <c r="F106" s="2"/>
      <c r="O106" t="s">
        <v>71</v>
      </c>
      <c r="P106" s="45">
        <f>SUM(P98:P105)</f>
        <v>7</v>
      </c>
      <c r="Q106" s="46">
        <f>SUM(Q98:Q105)</f>
        <v>9</v>
      </c>
      <c r="R106" s="44">
        <f>COUNTIF(R98:R105,"&gt;1")</f>
        <v>1</v>
      </c>
      <c r="S106" s="45">
        <f>SUM(S98:S105)</f>
        <v>1</v>
      </c>
      <c r="T106" s="46">
        <f>SUM(T98:T105)</f>
        <v>3</v>
      </c>
      <c r="U106" s="56">
        <f>AVERAGE(U98:U105)</f>
        <v>0.59047619047619038</v>
      </c>
      <c r="V106" s="54" t="s">
        <v>119</v>
      </c>
      <c r="W106" s="56">
        <f>MEDIAN(U98:U105)</f>
        <v>0.8</v>
      </c>
    </row>
    <row r="107" spans="1:23" ht="29.25" customHeight="1" thickBot="1" x14ac:dyDescent="0.3"/>
    <row r="108" spans="1:23" ht="29.25" customHeight="1" x14ac:dyDescent="0.25">
      <c r="C108" s="20" t="s">
        <v>4</v>
      </c>
      <c r="D108" s="20" t="s">
        <v>1</v>
      </c>
      <c r="E108" s="20" t="s">
        <v>70</v>
      </c>
      <c r="F108" s="20" t="s">
        <v>3</v>
      </c>
      <c r="G108" s="20" t="s">
        <v>2</v>
      </c>
      <c r="H108" s="20" t="s">
        <v>6</v>
      </c>
      <c r="I108" s="20" t="s">
        <v>25</v>
      </c>
      <c r="J108" s="20" t="s">
        <v>26</v>
      </c>
      <c r="K108" s="20" t="s">
        <v>19</v>
      </c>
      <c r="L108" s="20" t="s">
        <v>28</v>
      </c>
      <c r="M108" s="20" t="s">
        <v>27</v>
      </c>
      <c r="N108" s="20" t="s">
        <v>7</v>
      </c>
      <c r="P108" s="12" t="s">
        <v>29</v>
      </c>
      <c r="Q108" s="13" t="s">
        <v>30</v>
      </c>
      <c r="R108" s="11" t="s">
        <v>31</v>
      </c>
      <c r="S108" s="12" t="s">
        <v>32</v>
      </c>
      <c r="T108" s="13" t="s">
        <v>422</v>
      </c>
      <c r="U108" s="55" t="s">
        <v>115</v>
      </c>
      <c r="V108" s="3"/>
    </row>
    <row r="109" spans="1:23" ht="29.25" customHeight="1" x14ac:dyDescent="0.25">
      <c r="A109" s="8"/>
      <c r="C109" s="21">
        <v>43066</v>
      </c>
      <c r="D109" s="23" t="s">
        <v>302</v>
      </c>
      <c r="E109" s="24" t="s">
        <v>300</v>
      </c>
      <c r="F109" s="25" t="s">
        <v>301</v>
      </c>
      <c r="G109" s="6" t="s">
        <v>9</v>
      </c>
      <c r="H109" s="6" t="s">
        <v>9</v>
      </c>
      <c r="I109" s="29" t="s">
        <v>201</v>
      </c>
      <c r="J109" s="62" t="s">
        <v>10</v>
      </c>
      <c r="K109" s="29" t="s">
        <v>12</v>
      </c>
      <c r="L109" s="27"/>
      <c r="M109" s="30" t="s">
        <v>18</v>
      </c>
      <c r="N109" s="33">
        <v>1650</v>
      </c>
      <c r="P109" s="16">
        <f>LEN(I109)-LEN(SUBSTITUTE(I109,",",""))</f>
        <v>1</v>
      </c>
      <c r="Q109" s="15">
        <f t="shared" ref="Q109:Q116" si="101">LEN(J109)-LEN(SUBSTITUTE(J109,",",""))</f>
        <v>1</v>
      </c>
      <c r="R109" s="18">
        <f t="shared" ref="R109:R116" si="102">LEN(K109)-LEN(SUBSTITUTE(K109,",",""))</f>
        <v>0</v>
      </c>
      <c r="S109" s="16">
        <f t="shared" ref="S109:S116" si="103">LEN(L109)-LEN(SUBSTITUTE(L109,",",""))</f>
        <v>0</v>
      </c>
      <c r="T109" s="15">
        <f t="shared" ref="T109:T116" si="104">LEN(M109)-LEN(SUBSTITUTE(M109,",",""))</f>
        <v>3</v>
      </c>
      <c r="U109" s="54">
        <f t="shared" ref="U109:U116" si="105">Q109/(SUM(P109,Q109))</f>
        <v>0.5</v>
      </c>
      <c r="V109" t="s">
        <v>303</v>
      </c>
    </row>
    <row r="110" spans="1:23" ht="29.25" customHeight="1" x14ac:dyDescent="0.25">
      <c r="C110" s="21">
        <v>43066</v>
      </c>
      <c r="D110" s="23" t="s">
        <v>302</v>
      </c>
      <c r="E110" s="24" t="s">
        <v>305</v>
      </c>
      <c r="F110" s="25" t="s">
        <v>304</v>
      </c>
      <c r="G110" s="6" t="s">
        <v>9</v>
      </c>
      <c r="H110" s="58" t="s">
        <v>197</v>
      </c>
      <c r="I110" s="27" t="s">
        <v>312</v>
      </c>
      <c r="J110" s="62" t="s">
        <v>306</v>
      </c>
      <c r="K110" s="29"/>
      <c r="L110" s="27"/>
      <c r="M110" s="27" t="s">
        <v>420</v>
      </c>
      <c r="N110" s="33">
        <v>562</v>
      </c>
      <c r="P110" s="16">
        <f t="shared" ref="P110:P116" si="106">LEN(I110)-LEN(SUBSTITUTE(I110,",",""))</f>
        <v>3</v>
      </c>
      <c r="Q110" s="15">
        <f t="shared" si="101"/>
        <v>1</v>
      </c>
      <c r="R110" s="18">
        <f t="shared" si="102"/>
        <v>0</v>
      </c>
      <c r="S110" s="16">
        <f t="shared" si="103"/>
        <v>0</v>
      </c>
      <c r="T110" s="15">
        <f t="shared" si="104"/>
        <v>2</v>
      </c>
      <c r="U110" s="54">
        <f t="shared" si="105"/>
        <v>0.25</v>
      </c>
    </row>
    <row r="111" spans="1:23" ht="29.25" customHeight="1" x14ac:dyDescent="0.25">
      <c r="C111" s="21">
        <v>43066</v>
      </c>
      <c r="D111" s="23" t="s">
        <v>302</v>
      </c>
      <c r="E111" s="24" t="s">
        <v>308</v>
      </c>
      <c r="F111" s="25" t="s">
        <v>307</v>
      </c>
      <c r="G111" s="6" t="s">
        <v>9</v>
      </c>
      <c r="H111" s="6" t="s">
        <v>9</v>
      </c>
      <c r="I111" s="27"/>
      <c r="J111" s="62"/>
      <c r="K111" s="29"/>
      <c r="L111" s="27"/>
      <c r="M111" s="30"/>
      <c r="N111" s="33">
        <v>6</v>
      </c>
      <c r="P111" s="16">
        <f t="shared" si="106"/>
        <v>0</v>
      </c>
      <c r="Q111" s="15">
        <f t="shared" si="101"/>
        <v>0</v>
      </c>
      <c r="R111" s="18">
        <f t="shared" si="102"/>
        <v>0</v>
      </c>
      <c r="S111" s="16">
        <f t="shared" si="103"/>
        <v>0</v>
      </c>
      <c r="T111" s="15">
        <f t="shared" si="104"/>
        <v>0</v>
      </c>
      <c r="U111" s="54"/>
      <c r="V111" t="s">
        <v>309</v>
      </c>
    </row>
    <row r="112" spans="1:23" ht="29.25" customHeight="1" x14ac:dyDescent="0.25">
      <c r="C112" s="21">
        <v>43067</v>
      </c>
      <c r="D112" s="23" t="s">
        <v>302</v>
      </c>
      <c r="E112" s="24" t="s">
        <v>311</v>
      </c>
      <c r="F112" s="25" t="s">
        <v>310</v>
      </c>
      <c r="G112" s="19" t="s">
        <v>39</v>
      </c>
      <c r="H112" s="19" t="s">
        <v>39</v>
      </c>
      <c r="I112" s="29" t="s">
        <v>313</v>
      </c>
      <c r="J112" s="27" t="s">
        <v>12</v>
      </c>
      <c r="K112" s="27"/>
      <c r="L112" s="27"/>
      <c r="M112" s="30"/>
      <c r="N112" s="33">
        <v>201</v>
      </c>
      <c r="P112" s="16">
        <f t="shared" si="106"/>
        <v>6</v>
      </c>
      <c r="Q112" s="15">
        <f t="shared" si="101"/>
        <v>0</v>
      </c>
      <c r="R112" s="18">
        <f t="shared" si="102"/>
        <v>0</v>
      </c>
      <c r="S112" s="16">
        <f t="shared" si="103"/>
        <v>0</v>
      </c>
      <c r="T112" s="15">
        <f t="shared" si="104"/>
        <v>0</v>
      </c>
      <c r="U112" s="54">
        <f t="shared" si="105"/>
        <v>0</v>
      </c>
      <c r="V112" t="s">
        <v>314</v>
      </c>
    </row>
    <row r="113" spans="3:23" ht="29.25" customHeight="1" x14ac:dyDescent="0.25">
      <c r="C113" s="21">
        <v>43067</v>
      </c>
      <c r="D113" s="23" t="s">
        <v>302</v>
      </c>
      <c r="E113" s="24" t="s">
        <v>315</v>
      </c>
      <c r="F113" s="26" t="s">
        <v>316</v>
      </c>
      <c r="G113" s="58" t="s">
        <v>197</v>
      </c>
      <c r="H113" s="19" t="s">
        <v>39</v>
      </c>
      <c r="I113" s="29" t="s">
        <v>318</v>
      </c>
      <c r="J113" s="29" t="s">
        <v>319</v>
      </c>
      <c r="K113" s="29" t="s">
        <v>317</v>
      </c>
      <c r="L113" s="29"/>
      <c r="M113" s="29"/>
      <c r="N113" s="33">
        <v>39</v>
      </c>
      <c r="P113" s="16">
        <f t="shared" si="106"/>
        <v>2</v>
      </c>
      <c r="Q113" s="15">
        <f t="shared" si="101"/>
        <v>2</v>
      </c>
      <c r="R113" s="18">
        <f t="shared" si="102"/>
        <v>2</v>
      </c>
      <c r="S113" s="16">
        <f t="shared" si="103"/>
        <v>0</v>
      </c>
      <c r="T113" s="15">
        <f t="shared" si="104"/>
        <v>0</v>
      </c>
      <c r="U113" s="54">
        <f t="shared" si="105"/>
        <v>0.5</v>
      </c>
      <c r="V113" t="s">
        <v>320</v>
      </c>
    </row>
    <row r="114" spans="3:23" ht="29.25" customHeight="1" x14ac:dyDescent="0.25">
      <c r="C114" s="21">
        <v>43067</v>
      </c>
      <c r="D114" s="23" t="s">
        <v>302</v>
      </c>
      <c r="E114" s="24" t="s">
        <v>322</v>
      </c>
      <c r="F114" s="26" t="s">
        <v>321</v>
      </c>
      <c r="G114" s="6" t="s">
        <v>9</v>
      </c>
      <c r="H114" s="6" t="s">
        <v>9</v>
      </c>
      <c r="N114" s="33">
        <v>610</v>
      </c>
      <c r="P114" s="16">
        <f t="shared" ref="P114:T115" si="107">LEN(I115)-LEN(SUBSTITUTE(I115,",",""))</f>
        <v>3</v>
      </c>
      <c r="Q114" s="15">
        <f t="shared" si="107"/>
        <v>0</v>
      </c>
      <c r="R114" s="18">
        <f t="shared" si="107"/>
        <v>0</v>
      </c>
      <c r="S114" s="16">
        <f t="shared" si="107"/>
        <v>0</v>
      </c>
      <c r="T114" s="15">
        <f t="shared" si="107"/>
        <v>0</v>
      </c>
      <c r="U114" s="54"/>
      <c r="V114" t="s">
        <v>325</v>
      </c>
    </row>
    <row r="115" spans="3:23" ht="29.25" customHeight="1" x14ac:dyDescent="0.25">
      <c r="C115" s="21">
        <v>43068</v>
      </c>
      <c r="D115" s="23" t="s">
        <v>302</v>
      </c>
      <c r="E115" s="24" t="s">
        <v>329</v>
      </c>
      <c r="F115" s="26" t="s">
        <v>326</v>
      </c>
      <c r="G115" s="58" t="s">
        <v>197</v>
      </c>
      <c r="H115" s="58" t="s">
        <v>197</v>
      </c>
      <c r="I115" s="29" t="s">
        <v>323</v>
      </c>
      <c r="J115" s="62" t="s">
        <v>12</v>
      </c>
      <c r="K115" s="29"/>
      <c r="L115" s="29"/>
      <c r="M115" s="29" t="s">
        <v>409</v>
      </c>
      <c r="N115" s="33">
        <v>23</v>
      </c>
      <c r="P115" s="16">
        <f t="shared" si="107"/>
        <v>2</v>
      </c>
      <c r="Q115" s="15">
        <f t="shared" si="107"/>
        <v>4</v>
      </c>
      <c r="R115" s="18">
        <f t="shared" si="107"/>
        <v>1</v>
      </c>
      <c r="S115" s="16">
        <f t="shared" si="107"/>
        <v>0</v>
      </c>
      <c r="T115" s="15">
        <f t="shared" si="107"/>
        <v>1</v>
      </c>
      <c r="U115" s="54">
        <f t="shared" si="105"/>
        <v>0.66666666666666663</v>
      </c>
      <c r="V115" t="s">
        <v>324</v>
      </c>
    </row>
    <row r="116" spans="3:23" ht="29.25" customHeight="1" x14ac:dyDescent="0.25">
      <c r="C116" s="21">
        <v>43068</v>
      </c>
      <c r="D116" s="23" t="s">
        <v>302</v>
      </c>
      <c r="E116" s="24" t="s">
        <v>327</v>
      </c>
      <c r="F116" s="26" t="s">
        <v>328</v>
      </c>
      <c r="G116" s="6" t="s">
        <v>9</v>
      </c>
      <c r="H116" s="7" t="s">
        <v>11</v>
      </c>
      <c r="I116" s="29" t="s">
        <v>330</v>
      </c>
      <c r="J116" s="62" t="s">
        <v>331</v>
      </c>
      <c r="K116" s="29" t="s">
        <v>36</v>
      </c>
      <c r="L116" s="29"/>
      <c r="M116" s="29" t="s">
        <v>421</v>
      </c>
      <c r="N116" s="33">
        <v>4</v>
      </c>
      <c r="P116" s="16">
        <f t="shared" si="106"/>
        <v>2</v>
      </c>
      <c r="Q116" s="15">
        <f t="shared" si="101"/>
        <v>4</v>
      </c>
      <c r="R116" s="18">
        <f t="shared" si="102"/>
        <v>1</v>
      </c>
      <c r="S116" s="16">
        <f t="shared" si="103"/>
        <v>0</v>
      </c>
      <c r="T116" s="15">
        <f t="shared" si="104"/>
        <v>1</v>
      </c>
      <c r="U116" s="54">
        <f t="shared" si="105"/>
        <v>0.66666666666666663</v>
      </c>
    </row>
    <row r="117" spans="3:23" ht="29.25" customHeight="1" thickBot="1" x14ac:dyDescent="0.3">
      <c r="C117" s="22"/>
      <c r="F117" s="2"/>
      <c r="O117" t="s">
        <v>71</v>
      </c>
      <c r="P117" s="45">
        <f>SUM(P109:P116)</f>
        <v>19</v>
      </c>
      <c r="Q117" s="46">
        <f>SUM(Q109:Q116)</f>
        <v>12</v>
      </c>
      <c r="R117" s="44">
        <f>COUNTIF(R109:R116,"&gt;1")</f>
        <v>1</v>
      </c>
      <c r="S117" s="45">
        <f>SUM(S109:S116)</f>
        <v>0</v>
      </c>
      <c r="T117" s="46">
        <f>SUM(T109:T116)</f>
        <v>7</v>
      </c>
      <c r="U117" s="56">
        <f>AVERAGE(U109:U116)</f>
        <v>0.43055555555555552</v>
      </c>
      <c r="V117" s="54" t="s">
        <v>119</v>
      </c>
      <c r="W117" s="56">
        <f>MEDIAN(U109:U116)</f>
        <v>0.5</v>
      </c>
    </row>
    <row r="118" spans="3:23" ht="29.25" customHeight="1" x14ac:dyDescent="0.25">
      <c r="O118" t="s">
        <v>439</v>
      </c>
      <c r="P118">
        <f>SUM(P117:Q117,P106:Q106,P95:Q95,P80:Q80)</f>
        <v>76</v>
      </c>
    </row>
    <row r="119" spans="3:23" ht="22.5" customHeight="1" x14ac:dyDescent="0.25">
      <c r="D119" s="64" t="s">
        <v>340</v>
      </c>
      <c r="E119" s="24" t="s">
        <v>336</v>
      </c>
      <c r="F119" s="3">
        <f>SUM(F121:F125)</f>
        <v>80</v>
      </c>
      <c r="P119">
        <f>SUM(P52:Q52,P42:Q42,P36:Q36,P26:Q26,P18:Q18)</f>
        <v>122</v>
      </c>
    </row>
    <row r="120" spans="3:23" ht="22.5" customHeight="1" x14ac:dyDescent="0.3">
      <c r="E120" s="65"/>
      <c r="G120" t="s">
        <v>341</v>
      </c>
      <c r="H120" t="s">
        <v>344</v>
      </c>
      <c r="J120" s="79" t="s">
        <v>351</v>
      </c>
    </row>
    <row r="121" spans="3:23" ht="22.5" customHeight="1" x14ac:dyDescent="0.25">
      <c r="E121" s="84" t="s">
        <v>332</v>
      </c>
      <c r="F121" s="3">
        <f>COUNTIF(H$6:H$116,"pour")</f>
        <v>6</v>
      </c>
      <c r="G121" s="66">
        <f>F121/$F$119</f>
        <v>7.4999999999999997E-2</v>
      </c>
      <c r="H121" s="66">
        <f>F121/($F$119-$F$123)</f>
        <v>0.10169491525423729</v>
      </c>
      <c r="I121" s="63"/>
      <c r="J121" s="95">
        <f>SUMIF(H$6:H$116,"=pour",N$6:N$116)</f>
        <v>1721</v>
      </c>
      <c r="K121" s="72">
        <f>J121/(SUM(J121:J125))</f>
        <v>1.8359683372805052E-2</v>
      </c>
    </row>
    <row r="122" spans="3:23" ht="22.5" customHeight="1" x14ac:dyDescent="0.25">
      <c r="E122" s="84" t="s">
        <v>334</v>
      </c>
      <c r="F122" s="3">
        <f>COUNTIF(H$6:H$116,"plutôt pour")</f>
        <v>6</v>
      </c>
      <c r="G122" s="67">
        <f t="shared" ref="G122:G125" si="108">F122/$F$119</f>
        <v>7.4999999999999997E-2</v>
      </c>
      <c r="H122" s="67">
        <f t="shared" ref="H122:H125" si="109">F122/($F$119-$F$123)</f>
        <v>0.10169491525423729</v>
      </c>
      <c r="I122" s="63"/>
      <c r="J122" s="95">
        <f>SUMIF(H$6:H$116,"=plutôt pour",N$6:N$116)</f>
        <v>1519</v>
      </c>
      <c r="K122" s="92">
        <f>J122/(SUM(J121:J125))</f>
        <v>1.6204740873498474E-2</v>
      </c>
      <c r="L122" s="129">
        <f>SUM(K121:K122)</f>
        <v>3.4564424246303529E-2</v>
      </c>
    </row>
    <row r="123" spans="3:23" ht="22.5" customHeight="1" x14ac:dyDescent="0.25">
      <c r="E123" s="84" t="s">
        <v>337</v>
      </c>
      <c r="F123" s="3">
        <f>COUNTIF(H$6:H$116,"neutre")</f>
        <v>21</v>
      </c>
      <c r="G123" s="68">
        <f t="shared" si="108"/>
        <v>0.26250000000000001</v>
      </c>
      <c r="H123" s="69"/>
      <c r="I123" s="63"/>
      <c r="J123" s="95">
        <f>SUMIF(H$6:H$116,"=neutre",N$6:N$116)</f>
        <v>11567</v>
      </c>
      <c r="K123" s="93">
        <f>J123/(SUM(J121:J125))</f>
        <v>0.12339712816573854</v>
      </c>
      <c r="L123" s="129">
        <f>K123/(SUM(K121:K125))</f>
        <v>0.12339712816573854</v>
      </c>
    </row>
    <row r="124" spans="3:23" ht="22.5" customHeight="1" x14ac:dyDescent="0.25">
      <c r="E124" s="84" t="s">
        <v>335</v>
      </c>
      <c r="F124" s="3">
        <f>COUNTIF(H$6:H$116,"plutôt contre")</f>
        <v>28</v>
      </c>
      <c r="G124" s="70">
        <f t="shared" si="108"/>
        <v>0.35</v>
      </c>
      <c r="H124" s="70">
        <f t="shared" si="109"/>
        <v>0.47457627118644069</v>
      </c>
      <c r="I124" s="63"/>
      <c r="J124" s="95">
        <f>SUMIF(H$6:H$116,"=plutôt contre",N$6:N$116)</f>
        <v>46583</v>
      </c>
      <c r="K124" s="94">
        <f>J124/(SUM(J121:J125))</f>
        <v>0.49694894279801149</v>
      </c>
      <c r="L124" s="129">
        <f>SUM(K124:K125)</f>
        <v>0.84203844758795787</v>
      </c>
    </row>
    <row r="125" spans="3:23" ht="22.5" customHeight="1" x14ac:dyDescent="0.25">
      <c r="E125" s="84" t="s">
        <v>333</v>
      </c>
      <c r="F125" s="3">
        <f>COUNTIF(H$6:H$116,"contre")</f>
        <v>19</v>
      </c>
      <c r="G125" s="71">
        <f t="shared" si="108"/>
        <v>0.23749999999999999</v>
      </c>
      <c r="H125" s="71">
        <f t="shared" si="109"/>
        <v>0.32203389830508472</v>
      </c>
      <c r="I125" s="63"/>
      <c r="J125" s="95">
        <f>SUMIF(H$6:H$116,"=contre",N$6:N$116)</f>
        <v>32348</v>
      </c>
      <c r="K125" s="77">
        <f>J125/(SUM(J121:J125))</f>
        <v>0.34508950478994643</v>
      </c>
      <c r="L125" s="130"/>
    </row>
    <row r="126" spans="3:23" ht="22.5" customHeight="1" x14ac:dyDescent="0.3">
      <c r="E126" s="85"/>
      <c r="F126" s="3"/>
      <c r="G126" s="65"/>
      <c r="H126" s="97"/>
      <c r="J126" s="123">
        <f>SUM(J121:J125)</f>
        <v>93738</v>
      </c>
    </row>
    <row r="127" spans="3:23" ht="22.5" customHeight="1" thickBot="1" x14ac:dyDescent="0.3">
      <c r="E127" s="85"/>
      <c r="F127" s="3"/>
      <c r="G127" t="s">
        <v>341</v>
      </c>
      <c r="H127" t="s">
        <v>344</v>
      </c>
    </row>
    <row r="128" spans="3:23" ht="22.5" customHeight="1" thickBot="1" x14ac:dyDescent="0.3">
      <c r="E128" s="86" t="s">
        <v>338</v>
      </c>
      <c r="F128" s="3">
        <f>SUM(F121:F122)</f>
        <v>12</v>
      </c>
      <c r="G128" s="78">
        <f>F128/$F$119</f>
        <v>0.15</v>
      </c>
      <c r="H128" s="90">
        <f>F128/($F$119-$F$123)</f>
        <v>0.20338983050847459</v>
      </c>
      <c r="J128" s="91">
        <f>SUM(J121:J122)</f>
        <v>3240</v>
      </c>
      <c r="K128" s="90">
        <f>J128/(SUM(J121:J125)-J$123)</f>
        <v>3.9429969210548733E-2</v>
      </c>
    </row>
    <row r="129" spans="1:12" ht="22.5" customHeight="1" thickBot="1" x14ac:dyDescent="0.3">
      <c r="E129" s="84" t="s">
        <v>337</v>
      </c>
      <c r="F129" s="3">
        <f>COUNTIF(H$6:H$116,"neutre")</f>
        <v>21</v>
      </c>
      <c r="G129" s="74">
        <f t="shared" ref="G129:G130" si="110">F129/$F$119</f>
        <v>0.26250000000000001</v>
      </c>
      <c r="H129" s="75"/>
      <c r="J129" s="96"/>
      <c r="K129" s="75"/>
    </row>
    <row r="130" spans="1:12" ht="22.5" customHeight="1" thickBot="1" x14ac:dyDescent="0.3">
      <c r="E130" s="86" t="s">
        <v>339</v>
      </c>
      <c r="F130" s="3">
        <f>SUM(F124:F125)</f>
        <v>47</v>
      </c>
      <c r="G130" s="77">
        <f t="shared" si="110"/>
        <v>0.58750000000000002</v>
      </c>
      <c r="H130" s="89">
        <f t="shared" ref="H130" si="111">F130/($F$119-$F$123)</f>
        <v>0.79661016949152541</v>
      </c>
      <c r="J130" s="91">
        <f>SUM(J124:J125)</f>
        <v>78931</v>
      </c>
      <c r="K130" s="89">
        <f>J130/(SUM(J121:J125)-J$123)</f>
        <v>0.96057003078945125</v>
      </c>
    </row>
    <row r="131" spans="1:12" ht="22.5" customHeight="1" x14ac:dyDescent="0.25"/>
    <row r="132" spans="1:12" ht="22.5" customHeight="1" x14ac:dyDescent="0.25">
      <c r="E132" s="83" t="s">
        <v>348</v>
      </c>
    </row>
    <row r="133" spans="1:12" ht="22.5" customHeight="1" x14ac:dyDescent="0.3">
      <c r="E133" s="65"/>
      <c r="G133" t="s">
        <v>341</v>
      </c>
      <c r="H133" t="s">
        <v>344</v>
      </c>
      <c r="J133" s="79" t="s">
        <v>351</v>
      </c>
    </row>
    <row r="134" spans="1:12" ht="22.5" customHeight="1" x14ac:dyDescent="0.25">
      <c r="E134" s="84" t="s">
        <v>332</v>
      </c>
      <c r="F134" s="3">
        <f>COUNTIF(H$6:H$53,"pour")</f>
        <v>1</v>
      </c>
      <c r="G134" s="66">
        <f>F134/(SUM(F$134:$F138))</f>
        <v>3.0303030303030304E-2</v>
      </c>
      <c r="H134" s="66">
        <f>F134/(SUM(F$134:$F138)-$F$136)</f>
        <v>3.5714285714285712E-2</v>
      </c>
      <c r="J134" s="95">
        <f>SUMIF(H$6:H$53,"=pour",N$6:N$53)</f>
        <v>567</v>
      </c>
      <c r="K134" s="72">
        <f>J134/(SUM(J134:J138))</f>
        <v>1.0731116452485947E-2</v>
      </c>
    </row>
    <row r="135" spans="1:12" ht="22.5" customHeight="1" x14ac:dyDescent="0.25">
      <c r="E135" s="84" t="s">
        <v>334</v>
      </c>
      <c r="F135" s="3">
        <f>COUNTIF(H$6:H$53,"plutôt pour")</f>
        <v>0</v>
      </c>
      <c r="G135" s="67">
        <f>F135/(SUM(F$134:$F138))</f>
        <v>0</v>
      </c>
      <c r="H135" s="67">
        <f>F135/(SUM(F$134:$F138)-$F$136)</f>
        <v>0</v>
      </c>
      <c r="J135" s="95">
        <f>SUMIF(H$6:H$53,"=plutôt pour",N$6:N$53)</f>
        <v>0</v>
      </c>
      <c r="K135" s="92">
        <f>J135/(SUM(J134:J138))</f>
        <v>0</v>
      </c>
    </row>
    <row r="136" spans="1:12" ht="22.5" customHeight="1" x14ac:dyDescent="0.25">
      <c r="E136" s="84" t="s">
        <v>337</v>
      </c>
      <c r="F136" s="3">
        <f>COUNTIF(H$6:H$53,"neutre")</f>
        <v>5</v>
      </c>
      <c r="G136" s="68">
        <f>F136/(SUM(F$134:$F138))</f>
        <v>0.15151515151515152</v>
      </c>
      <c r="H136" s="69"/>
      <c r="J136" s="95">
        <f>SUMIF(H$6:H$53,"=neutre",N$6:N$53)</f>
        <v>4661</v>
      </c>
      <c r="K136" s="93">
        <f>J136/(SUM(J134:J138))</f>
        <v>8.8214698033574956E-2</v>
      </c>
    </row>
    <row r="137" spans="1:12" ht="22.5" customHeight="1" x14ac:dyDescent="0.25">
      <c r="E137" s="84" t="s">
        <v>335</v>
      </c>
      <c r="F137" s="3">
        <f>COUNTIF(H$6:H$53,"plutôt contre")</f>
        <v>13</v>
      </c>
      <c r="G137" s="70">
        <f>F137/(SUM(F$134:$F138))</f>
        <v>0.39393939393939392</v>
      </c>
      <c r="H137" s="70">
        <f>F137/(SUM(F$134:$F138)-$F$136)</f>
        <v>0.4642857142857143</v>
      </c>
      <c r="J137" s="95">
        <f>SUMIF(H$6:H$53,"=plutôt contre",N$6:N$53)</f>
        <v>15623</v>
      </c>
      <c r="K137" s="94">
        <f>J137/(SUM(J134:J138))</f>
        <v>0.29568294944830326</v>
      </c>
    </row>
    <row r="138" spans="1:12" ht="22.5" customHeight="1" x14ac:dyDescent="0.25">
      <c r="E138" s="84" t="s">
        <v>333</v>
      </c>
      <c r="F138" s="3">
        <f>COUNTIF(H$6:H$53,"contre")</f>
        <v>14</v>
      </c>
      <c r="G138" s="71">
        <f>F138/(SUM(F$134:$F138))</f>
        <v>0.42424242424242425</v>
      </c>
      <c r="H138" s="71">
        <f>F138/(SUM(F$134:$F138)-$F$136)</f>
        <v>0.5</v>
      </c>
      <c r="J138" s="95">
        <f>SUMIF(H$6:H$53,"=contre",N$6:N$53)</f>
        <v>31986</v>
      </c>
      <c r="K138" s="77">
        <f>J138/(SUM(J134:J138))</f>
        <v>0.60537123606563581</v>
      </c>
    </row>
    <row r="139" spans="1:12" ht="22.5" customHeight="1" x14ac:dyDescent="0.25">
      <c r="E139" s="85"/>
      <c r="F139" s="123">
        <f>SUM(F134:F138)</f>
        <v>33</v>
      </c>
      <c r="H139" s="63"/>
      <c r="J139" s="123">
        <f>SUM(J134:J138)</f>
        <v>52837</v>
      </c>
    </row>
    <row r="140" spans="1:12" ht="22.5" customHeight="1" thickBot="1" x14ac:dyDescent="0.3">
      <c r="E140" s="85"/>
      <c r="F140" s="3"/>
      <c r="G140" t="s">
        <v>341</v>
      </c>
      <c r="H140" t="s">
        <v>344</v>
      </c>
    </row>
    <row r="141" spans="1:12" ht="22.5" customHeight="1" thickBot="1" x14ac:dyDescent="0.3">
      <c r="E141" s="86" t="s">
        <v>338</v>
      </c>
      <c r="F141" s="3">
        <f>SUM(F134:F135)</f>
        <v>1</v>
      </c>
      <c r="G141" s="78">
        <f>F141/(SUM(F$134:$F138))</f>
        <v>3.0303030303030304E-2</v>
      </c>
      <c r="H141" s="90">
        <f>F141/(SUM(F$134:$F138)-$F$142)</f>
        <v>3.5714285714285712E-2</v>
      </c>
      <c r="J141" s="91">
        <f>SUM(J134:J135)</f>
        <v>567</v>
      </c>
      <c r="K141" s="90">
        <f>J141/(SUM(J134:J138)-J$136)</f>
        <v>1.1769345732314846E-2</v>
      </c>
      <c r="L141" s="63">
        <f>SUM(K134:K135)</f>
        <v>1.0731116452485947E-2</v>
      </c>
    </row>
    <row r="142" spans="1:12" ht="22.5" customHeight="1" thickBot="1" x14ac:dyDescent="0.3">
      <c r="E142" s="84" t="s">
        <v>337</v>
      </c>
      <c r="F142" s="3">
        <f>COUNTIF(H$6:H$53,"neutre")</f>
        <v>5</v>
      </c>
      <c r="G142" s="74">
        <f>F142/SUM(F134:F138)</f>
        <v>0.15151515151515152</v>
      </c>
      <c r="H142" s="75"/>
      <c r="J142" s="96"/>
      <c r="K142" s="75"/>
      <c r="L142" s="63">
        <f>K136</f>
        <v>8.8214698033574956E-2</v>
      </c>
    </row>
    <row r="143" spans="1:12" ht="22.5" customHeight="1" thickBot="1" x14ac:dyDescent="0.3">
      <c r="E143" s="86" t="s">
        <v>339</v>
      </c>
      <c r="F143" s="3">
        <f>SUM(F137:F138)</f>
        <v>27</v>
      </c>
      <c r="G143" s="77">
        <f>F143/(SUM(F$134:$F138))</f>
        <v>0.81818181818181823</v>
      </c>
      <c r="H143" s="89">
        <f>F143/(SUM(F$134:$F138)-$F$142)</f>
        <v>0.9642857142857143</v>
      </c>
      <c r="J143" s="91">
        <f>SUM(J137:J138)</f>
        <v>47609</v>
      </c>
      <c r="K143" s="89">
        <f>J143/(SUM(J134:J138)-J$136)</f>
        <v>0.98823065426768519</v>
      </c>
      <c r="L143" s="63">
        <f>SUM(K137:K138)</f>
        <v>0.90105418551393912</v>
      </c>
    </row>
    <row r="144" spans="1:12" ht="22.5" customHeight="1" x14ac:dyDescent="0.25">
      <c r="A144" t="s">
        <v>12</v>
      </c>
    </row>
    <row r="145" spans="5:12" ht="22.5" customHeight="1" x14ac:dyDescent="0.25">
      <c r="E145" s="83" t="s">
        <v>349</v>
      </c>
      <c r="F145" t="s">
        <v>350</v>
      </c>
    </row>
    <row r="146" spans="5:12" ht="22.5" customHeight="1" x14ac:dyDescent="0.3">
      <c r="E146" s="65"/>
      <c r="G146" t="s">
        <v>341</v>
      </c>
      <c r="H146" t="s">
        <v>344</v>
      </c>
      <c r="J146" s="79" t="s">
        <v>351</v>
      </c>
    </row>
    <row r="147" spans="5:12" ht="22.5" customHeight="1" x14ac:dyDescent="0.25">
      <c r="E147" s="84" t="s">
        <v>332</v>
      </c>
      <c r="F147" s="3">
        <f>COUNTIF(H$83:H$116,"pour")</f>
        <v>4</v>
      </c>
      <c r="G147" s="72">
        <f>F147/(SUM(F$147:$F151))</f>
        <v>0.14285714285714285</v>
      </c>
      <c r="H147" s="72">
        <f>F147/(SUM(F$147:$F151)-$F$149)</f>
        <v>0.23529411764705882</v>
      </c>
      <c r="J147" s="95">
        <f>SUMIF(H$83:H$116,"pour",N$53:N$116)</f>
        <v>3389</v>
      </c>
      <c r="K147" s="72">
        <f>J147/(SUM(J147:J151))</f>
        <v>0.12232007507399119</v>
      </c>
    </row>
    <row r="148" spans="5:12" ht="22.5" customHeight="1" x14ac:dyDescent="0.25">
      <c r="E148" s="84" t="s">
        <v>334</v>
      </c>
      <c r="F148" s="3">
        <f>COUNTIF(H$83:H$116,"plutôt pour")</f>
        <v>4</v>
      </c>
      <c r="G148" s="73">
        <f>F148/(SUM(F$147:$F151))</f>
        <v>0.14285714285714285</v>
      </c>
      <c r="H148" s="73">
        <f>F148/(SUM(F$147:$F151)-$F$149)</f>
        <v>0.23529411764705882</v>
      </c>
      <c r="J148" s="95">
        <f>SUMIF(H$83:H$116,"plutôt pour",N$53:N$116)</f>
        <v>1444</v>
      </c>
      <c r="K148" s="92">
        <f>J148/(SUM(J147:J151))</f>
        <v>5.2118674655309317E-2</v>
      </c>
    </row>
    <row r="149" spans="5:12" ht="22.5" customHeight="1" x14ac:dyDescent="0.25">
      <c r="E149" s="84" t="s">
        <v>337</v>
      </c>
      <c r="F149" s="3">
        <f>COUNTIF(H$83:H$116,"neutre")</f>
        <v>11</v>
      </c>
      <c r="G149" s="74">
        <f>F149/(SUM(F$147:$F151))</f>
        <v>0.39285714285714285</v>
      </c>
      <c r="H149" s="75"/>
      <c r="J149" s="95">
        <f>SUMIF(H$83:H$116,"neutre",N$53:N$116)</f>
        <v>3090</v>
      </c>
      <c r="K149" s="93">
        <f>J149/(SUM(J147:J151))</f>
        <v>0.11152818883996246</v>
      </c>
    </row>
    <row r="150" spans="5:12" ht="22.5" customHeight="1" x14ac:dyDescent="0.25">
      <c r="E150" s="84" t="s">
        <v>335</v>
      </c>
      <c r="F150" s="3">
        <f>COUNTIF(H$83:H$116,"plutôt contre")</f>
        <v>8</v>
      </c>
      <c r="G150" s="76">
        <f>F150/(SUM(F$147:$F151))</f>
        <v>0.2857142857142857</v>
      </c>
      <c r="H150" s="76">
        <f>F150/(SUM(F$147:$F151)-$F$149)</f>
        <v>0.47058823529411764</v>
      </c>
      <c r="J150" s="95">
        <f>SUMIF(H$83:H$116,"plutôt contre",N$53:N$116)</f>
        <v>19610</v>
      </c>
      <c r="K150" s="94">
        <f>J150/(SUM(J147:J151))</f>
        <v>0.70778892658629899</v>
      </c>
    </row>
    <row r="151" spans="5:12" ht="22.5" customHeight="1" x14ac:dyDescent="0.25">
      <c r="E151" s="84" t="s">
        <v>333</v>
      </c>
      <c r="F151" s="3">
        <f>COUNTIF(H$83:H$116,"contre")</f>
        <v>1</v>
      </c>
      <c r="G151" s="77">
        <f>F151/(SUM(F$147:$F151))</f>
        <v>3.5714285714285712E-2</v>
      </c>
      <c r="H151" s="77">
        <f>F151/(SUM(F$147:$F151)-$F$149)</f>
        <v>5.8823529411764705E-2</v>
      </c>
      <c r="J151" s="95">
        <f>SUMIF(H$83:H$116,"contre",N$53:N$116)</f>
        <v>173</v>
      </c>
      <c r="K151" s="77">
        <f>J151/(SUM(J147:J151))</f>
        <v>6.2441348444380275E-3</v>
      </c>
    </row>
    <row r="152" spans="5:12" ht="22.5" customHeight="1" x14ac:dyDescent="0.25">
      <c r="E152" s="85"/>
      <c r="F152" s="123">
        <f>SUM(F147:F151)</f>
        <v>28</v>
      </c>
      <c r="H152" s="63"/>
      <c r="J152" s="123">
        <f>SUM(J147:J151)</f>
        <v>27706</v>
      </c>
    </row>
    <row r="153" spans="5:12" ht="22.5" customHeight="1" thickBot="1" x14ac:dyDescent="0.3">
      <c r="E153" s="85"/>
      <c r="F153" s="3"/>
      <c r="G153" t="s">
        <v>341</v>
      </c>
      <c r="H153" t="s">
        <v>344</v>
      </c>
    </row>
    <row r="154" spans="5:12" ht="22.5" customHeight="1" thickBot="1" x14ac:dyDescent="0.3">
      <c r="E154" s="86" t="s">
        <v>338</v>
      </c>
      <c r="F154" s="3">
        <f>SUM(F147:F148)</f>
        <v>8</v>
      </c>
      <c r="G154" s="78">
        <f>F154/(SUM(F$147:$F151))</f>
        <v>0.2857142857142857</v>
      </c>
      <c r="H154" s="90">
        <f>F154/(SUM(F$147:$F151)-F155)</f>
        <v>0.66666666666666663</v>
      </c>
      <c r="J154" s="91">
        <f>SUM(J147:J148)</f>
        <v>4833</v>
      </c>
      <c r="K154" s="90">
        <f>J154/(SUM(J147:J151)-J$149)</f>
        <v>0.19633571660708482</v>
      </c>
      <c r="L154" s="63">
        <f>SUM(K147:K148)</f>
        <v>0.17443874972930051</v>
      </c>
    </row>
    <row r="155" spans="5:12" ht="22.5" customHeight="1" thickBot="1" x14ac:dyDescent="0.3">
      <c r="E155" s="84" t="s">
        <v>337</v>
      </c>
      <c r="F155" s="3">
        <f>COUNTIF(H$53:H$116,"neutre")</f>
        <v>16</v>
      </c>
      <c r="G155" s="74">
        <f>F155/(SUM(F$147:$F151))</f>
        <v>0.5714285714285714</v>
      </c>
      <c r="H155" s="75"/>
      <c r="J155" s="96"/>
      <c r="K155" s="75"/>
      <c r="L155" s="63">
        <f>K149</f>
        <v>0.11152818883996246</v>
      </c>
    </row>
    <row r="156" spans="5:12" ht="22.5" customHeight="1" thickBot="1" x14ac:dyDescent="0.3">
      <c r="E156" s="86" t="s">
        <v>339</v>
      </c>
      <c r="F156" s="3">
        <f>SUM(F150:F151)</f>
        <v>9</v>
      </c>
      <c r="G156" s="77">
        <f>F156/(SUM(F$147:$F151))</f>
        <v>0.32142857142857145</v>
      </c>
      <c r="H156" s="89">
        <f>F156/(SUM(F$147:$F151)-F155)</f>
        <v>0.75</v>
      </c>
      <c r="J156" s="91">
        <f>SUM(J150:J151)</f>
        <v>19783</v>
      </c>
      <c r="K156" s="89">
        <f>J156/(SUM(J147:J151)-J$149)</f>
        <v>0.80366428339291518</v>
      </c>
      <c r="L156" s="63">
        <f>SUM(K150:K151)</f>
        <v>0.71403306143073697</v>
      </c>
    </row>
    <row r="157" spans="5:12" ht="22.5" customHeight="1" x14ac:dyDescent="0.25"/>
    <row r="158" spans="5:12" ht="22.5" customHeight="1" x14ac:dyDescent="0.25">
      <c r="E158" s="83" t="s">
        <v>424</v>
      </c>
      <c r="F158" s="3"/>
    </row>
    <row r="159" spans="5:12" ht="22.5" customHeight="1" x14ac:dyDescent="0.3">
      <c r="E159" s="65"/>
      <c r="F159" s="3" t="s">
        <v>429</v>
      </c>
      <c r="G159" s="3" t="s">
        <v>426</v>
      </c>
      <c r="H159" s="3" t="s">
        <v>428</v>
      </c>
      <c r="I159" s="3" t="s">
        <v>427</v>
      </c>
    </row>
    <row r="160" spans="5:12" ht="22.5" customHeight="1" x14ac:dyDescent="0.25">
      <c r="E160" s="84" t="s">
        <v>425</v>
      </c>
      <c r="F160" s="133">
        <f>COUNTIFS($H$6:$H$116,"**",$D$6:$D$116,"Le Monde")-1</f>
        <v>11</v>
      </c>
      <c r="G160" s="137">
        <f>COUNTIFS($H$6:$H$116,"*pour*",$D$6:$D$116,$E160)/F160</f>
        <v>9.0909090909090912E-2</v>
      </c>
      <c r="H160" s="136">
        <f>COUNTIFS($H$6:$H$116,"*neutre*",$D$6:$D$116,$E160)/F160</f>
        <v>0.27272727272727271</v>
      </c>
      <c r="I160" s="135">
        <f>COUNTIFS($H$6:$H$116,"*contre*",$D$6:$D$116,$E160)/F160</f>
        <v>0.63636363636363635</v>
      </c>
    </row>
    <row r="161" spans="4:11" ht="22.5" customHeight="1" x14ac:dyDescent="0.25">
      <c r="E161" s="84" t="s">
        <v>430</v>
      </c>
      <c r="F161" s="133">
        <f>COUNTIFS($H$6:$H$116,"**",$D$6:$D$116,E161)</f>
        <v>5</v>
      </c>
      <c r="G161" s="137">
        <f t="shared" ref="G161:G170" si="112">COUNTIFS($H$6:$H$116,"*pour*",$D$6:$D$116,$E161)/F161</f>
        <v>0</v>
      </c>
      <c r="H161" s="136">
        <f t="shared" ref="H161:H170" si="113">COUNTIFS($H$6:$H$116,"*neutre*",$D$6:$D$116,$E161)/F161</f>
        <v>0.2</v>
      </c>
      <c r="I161" s="135">
        <f t="shared" ref="I161:I170" si="114">COUNTIFS($H$6:$H$116,"*contre*",$D$6:$D$116,$E161)/F161</f>
        <v>0.8</v>
      </c>
    </row>
    <row r="162" spans="4:11" ht="22.5" customHeight="1" x14ac:dyDescent="0.25">
      <c r="E162" s="84" t="s">
        <v>431</v>
      </c>
      <c r="F162" s="133">
        <f t="shared" ref="F162:F170" si="115">COUNTIFS($H$6:$H$116,"**",$D$6:$D$116,E162)</f>
        <v>7</v>
      </c>
      <c r="G162" s="137">
        <f t="shared" si="112"/>
        <v>0</v>
      </c>
      <c r="H162" s="136">
        <f t="shared" si="113"/>
        <v>0</v>
      </c>
      <c r="I162" s="135">
        <f t="shared" si="114"/>
        <v>1</v>
      </c>
    </row>
    <row r="163" spans="4:11" ht="22.5" customHeight="1" x14ac:dyDescent="0.25">
      <c r="E163" s="84" t="s">
        <v>432</v>
      </c>
      <c r="F163" s="133">
        <f t="shared" si="115"/>
        <v>3</v>
      </c>
      <c r="G163" s="137">
        <f t="shared" si="112"/>
        <v>0</v>
      </c>
      <c r="H163" s="136">
        <f t="shared" si="113"/>
        <v>0.33333333333333331</v>
      </c>
      <c r="I163" s="135">
        <f t="shared" si="114"/>
        <v>0.66666666666666663</v>
      </c>
    </row>
    <row r="164" spans="4:11" ht="22.5" customHeight="1" x14ac:dyDescent="0.25">
      <c r="E164" s="84" t="s">
        <v>437</v>
      </c>
      <c r="F164" s="133">
        <f t="shared" si="115"/>
        <v>7</v>
      </c>
      <c r="G164" s="137">
        <f t="shared" si="112"/>
        <v>0</v>
      </c>
      <c r="H164" s="136">
        <f t="shared" si="113"/>
        <v>0</v>
      </c>
      <c r="I164" s="135">
        <f t="shared" si="114"/>
        <v>1</v>
      </c>
    </row>
    <row r="165" spans="4:11" ht="22.5" customHeight="1" x14ac:dyDescent="0.25">
      <c r="E165" s="84" t="s">
        <v>144</v>
      </c>
      <c r="F165" s="133">
        <f t="shared" si="115"/>
        <v>6</v>
      </c>
      <c r="G165" s="137">
        <f t="shared" si="112"/>
        <v>0.16666666666666666</v>
      </c>
      <c r="H165" s="136">
        <f t="shared" si="113"/>
        <v>0.16666666666666666</v>
      </c>
      <c r="I165" s="135">
        <f t="shared" si="114"/>
        <v>0.66666666666666663</v>
      </c>
    </row>
    <row r="166" spans="4:11" ht="22.5" customHeight="1" x14ac:dyDescent="0.25">
      <c r="E166" s="84" t="s">
        <v>438</v>
      </c>
      <c r="F166" s="133">
        <f t="shared" si="115"/>
        <v>9</v>
      </c>
      <c r="G166" s="137">
        <f t="shared" si="112"/>
        <v>0.1111111111111111</v>
      </c>
      <c r="H166" s="136">
        <f t="shared" si="113"/>
        <v>0.22222222222222221</v>
      </c>
      <c r="I166" s="135">
        <f t="shared" si="114"/>
        <v>0.66666666666666663</v>
      </c>
    </row>
    <row r="167" spans="4:11" ht="22.5" customHeight="1" x14ac:dyDescent="0.25">
      <c r="E167" s="84" t="s">
        <v>433</v>
      </c>
      <c r="F167" s="133">
        <f t="shared" si="115"/>
        <v>4</v>
      </c>
      <c r="G167" s="137">
        <f t="shared" si="112"/>
        <v>0.25</v>
      </c>
      <c r="H167" s="136">
        <f t="shared" si="113"/>
        <v>0.5</v>
      </c>
      <c r="I167" s="135">
        <f t="shared" si="114"/>
        <v>0.25</v>
      </c>
    </row>
    <row r="168" spans="4:11" ht="22.5" customHeight="1" x14ac:dyDescent="0.25">
      <c r="E168" s="84" t="s">
        <v>434</v>
      </c>
      <c r="F168" s="133">
        <f t="shared" si="115"/>
        <v>12</v>
      </c>
      <c r="G168" s="137">
        <f t="shared" si="112"/>
        <v>0.25</v>
      </c>
      <c r="H168" s="136">
        <f t="shared" si="113"/>
        <v>0.41666666666666669</v>
      </c>
      <c r="I168" s="135">
        <f t="shared" si="114"/>
        <v>0.33333333333333331</v>
      </c>
    </row>
    <row r="169" spans="4:11" ht="22.5" customHeight="1" x14ac:dyDescent="0.25">
      <c r="E169" s="84" t="s">
        <v>435</v>
      </c>
      <c r="F169" s="133">
        <f t="shared" si="115"/>
        <v>8</v>
      </c>
      <c r="G169" s="137">
        <f t="shared" si="112"/>
        <v>0.125</v>
      </c>
      <c r="H169" s="136">
        <f t="shared" si="113"/>
        <v>0.375</v>
      </c>
      <c r="I169" s="135">
        <f t="shared" si="114"/>
        <v>0.5</v>
      </c>
    </row>
    <row r="170" spans="4:11" ht="22.5" customHeight="1" x14ac:dyDescent="0.25">
      <c r="E170" s="84" t="s">
        <v>436</v>
      </c>
      <c r="F170" s="133">
        <f t="shared" si="115"/>
        <v>8</v>
      </c>
      <c r="G170" s="137">
        <f t="shared" si="112"/>
        <v>0.5</v>
      </c>
      <c r="H170" s="136">
        <f t="shared" si="113"/>
        <v>0.375</v>
      </c>
      <c r="I170" s="135">
        <f t="shared" si="114"/>
        <v>0.125</v>
      </c>
    </row>
    <row r="171" spans="4:11" ht="22.5" customHeight="1" x14ac:dyDescent="0.25"/>
    <row r="172" spans="4:11" ht="22.5" customHeight="1" x14ac:dyDescent="0.25">
      <c r="D172" s="64" t="s">
        <v>342</v>
      </c>
      <c r="E172" s="24" t="s">
        <v>336</v>
      </c>
      <c r="F172" s="3">
        <f>SUM(F174:F178)</f>
        <v>81</v>
      </c>
    </row>
    <row r="173" spans="4:11" ht="22.5" customHeight="1" x14ac:dyDescent="0.3">
      <c r="E173" s="65"/>
      <c r="G173" t="s">
        <v>341</v>
      </c>
      <c r="H173" t="s">
        <v>343</v>
      </c>
    </row>
    <row r="174" spans="4:11" ht="22.5" customHeight="1" x14ac:dyDescent="0.25">
      <c r="E174" s="84" t="s">
        <v>332</v>
      </c>
      <c r="F174" s="3">
        <f>COUNTIF(G$6:G$116,"pour")</f>
        <v>3</v>
      </c>
      <c r="G174" s="72">
        <f>F174/$F$172</f>
        <v>3.7037037037037035E-2</v>
      </c>
      <c r="H174" s="72">
        <f>F174/($F$172-$F$123)</f>
        <v>0.05</v>
      </c>
      <c r="J174">
        <f>SUMIF(G$6:G$116,"=pour",N$6:N$116)</f>
        <v>1655</v>
      </c>
      <c r="K174" s="72">
        <f>J174/(SUM(J174:J178))</f>
        <v>1.7434816960758492E-2</v>
      </c>
    </row>
    <row r="175" spans="4:11" ht="22.5" customHeight="1" x14ac:dyDescent="0.25">
      <c r="E175" s="84" t="s">
        <v>334</v>
      </c>
      <c r="F175" s="3">
        <f>COUNTIF(G$6:G$116,"plutôt pour")</f>
        <v>7</v>
      </c>
      <c r="G175" s="73">
        <f>F175/$F$172</f>
        <v>8.6419753086419748E-2</v>
      </c>
      <c r="H175" s="73">
        <f>F175/($F$172-$F$123)</f>
        <v>0.11666666666666667</v>
      </c>
      <c r="J175">
        <f>SUMIF(G$6:G$116,"=plutôt pour",N$6:N$116)</f>
        <v>100</v>
      </c>
      <c r="K175" s="92">
        <f>J175/(SUM(J174:J178))</f>
        <v>1.0534632604687912E-3</v>
      </c>
    </row>
    <row r="176" spans="4:11" ht="22.5" customHeight="1" x14ac:dyDescent="0.25">
      <c r="E176" s="84" t="s">
        <v>337</v>
      </c>
      <c r="F176" s="3">
        <f>COUNTIF(G$6:G$116,"neutre")</f>
        <v>49</v>
      </c>
      <c r="G176" s="74">
        <f>F176/$F$172</f>
        <v>0.60493827160493829</v>
      </c>
      <c r="H176" s="75"/>
      <c r="J176">
        <f>SUMIF(G$6:G$116,"=neutre",N$6:N$116)</f>
        <v>62164</v>
      </c>
      <c r="K176" s="93">
        <f>J176/(SUM(J174:J178))</f>
        <v>0.65487490123781933</v>
      </c>
    </row>
    <row r="177" spans="4:11" ht="22.5" customHeight="1" x14ac:dyDescent="0.25">
      <c r="E177" s="84" t="s">
        <v>335</v>
      </c>
      <c r="F177" s="3">
        <f>COUNTIF(G$6:G$116,"plutôt contre")</f>
        <v>11</v>
      </c>
      <c r="G177" s="76">
        <f>F177/$F$172</f>
        <v>0.13580246913580246</v>
      </c>
      <c r="H177" s="76">
        <f>F177/($F$172-$F$123)</f>
        <v>0.18333333333333332</v>
      </c>
      <c r="J177">
        <f>SUMIF(G$6:G$116,"=plutôt contre",N$6:N$116)</f>
        <v>18272</v>
      </c>
      <c r="K177" s="94">
        <f>J177/(SUM(J174:J178))</f>
        <v>0.19248880695285753</v>
      </c>
    </row>
    <row r="178" spans="4:11" ht="22.5" customHeight="1" x14ac:dyDescent="0.25">
      <c r="E178" s="84" t="s">
        <v>333</v>
      </c>
      <c r="F178" s="3">
        <f>COUNTIF(G$6:G$116,"contre")</f>
        <v>11</v>
      </c>
      <c r="G178" s="77">
        <f>F178/$F$172</f>
        <v>0.13580246913580246</v>
      </c>
      <c r="H178" s="77">
        <f>F178/($F$172-$F$123)</f>
        <v>0.18333333333333332</v>
      </c>
      <c r="J178">
        <f>SUMIF(G$6:G$116,"=contre",N$6:N$116)</f>
        <v>12734</v>
      </c>
      <c r="K178" s="77">
        <f>J178/(SUM(J174:J178))</f>
        <v>0.13414801158809586</v>
      </c>
    </row>
    <row r="179" spans="4:11" ht="22.5" customHeight="1" x14ac:dyDescent="0.25">
      <c r="E179" s="85"/>
      <c r="F179" s="3"/>
      <c r="H179" s="63"/>
    </row>
    <row r="180" spans="4:11" ht="15.75" x14ac:dyDescent="0.25">
      <c r="E180" s="85"/>
      <c r="F180" s="3"/>
      <c r="G180" t="s">
        <v>341</v>
      </c>
      <c r="H180" t="s">
        <v>343</v>
      </c>
      <c r="I180" t="s">
        <v>495</v>
      </c>
    </row>
    <row r="181" spans="4:11" ht="21" x14ac:dyDescent="0.25">
      <c r="E181" s="86" t="s">
        <v>338</v>
      </c>
      <c r="F181" s="3">
        <f>SUM(F174:F175)</f>
        <v>10</v>
      </c>
      <c r="G181" s="78">
        <f>F181/$F$172</f>
        <v>0.12345679012345678</v>
      </c>
      <c r="H181" s="78">
        <f>F181/($F$172-$F$182)</f>
        <v>0.3125</v>
      </c>
      <c r="K181" s="78">
        <f>SUM(K174:K175)</f>
        <v>1.8488280221227282E-2</v>
      </c>
    </row>
    <row r="182" spans="4:11" ht="21" x14ac:dyDescent="0.25">
      <c r="E182" s="84" t="s">
        <v>337</v>
      </c>
      <c r="F182" s="3">
        <f>COUNTIF(G$6:G$116,"neutre")</f>
        <v>49</v>
      </c>
      <c r="G182" s="74">
        <f>F182/$F$172</f>
        <v>0.60493827160493829</v>
      </c>
      <c r="H182" s="75"/>
      <c r="K182" s="74">
        <f>K176</f>
        <v>0.65487490123781933</v>
      </c>
    </row>
    <row r="183" spans="4:11" ht="21" x14ac:dyDescent="0.25">
      <c r="E183" s="86" t="s">
        <v>339</v>
      </c>
      <c r="F183" s="3">
        <f>SUM(F177:F178)</f>
        <v>22</v>
      </c>
      <c r="G183" s="77">
        <f>F183/$F$172</f>
        <v>0.27160493827160492</v>
      </c>
      <c r="H183" s="77">
        <f>F183/($F$172-$F$182)</f>
        <v>0.6875</v>
      </c>
      <c r="K183" s="77">
        <f>SUM(K177:K178)</f>
        <v>0.32663681854095339</v>
      </c>
    </row>
    <row r="185" spans="4:11" ht="28.5" x14ac:dyDescent="0.25">
      <c r="D185" s="64" t="s">
        <v>345</v>
      </c>
      <c r="E185" s="24"/>
      <c r="F185" s="3"/>
    </row>
    <row r="186" spans="4:11" x14ac:dyDescent="0.25">
      <c r="J186" s="79"/>
    </row>
    <row r="187" spans="4:11" ht="21" x14ac:dyDescent="0.25">
      <c r="E187" s="84" t="s">
        <v>347</v>
      </c>
      <c r="G187" s="82">
        <f>AVERAGE(U117,U106,U95,U80,U73,U61,U52,U42,U36,U26)</f>
        <v>0.72629960317460318</v>
      </c>
      <c r="H187" s="81">
        <f>1-G187</f>
        <v>0.27370039682539682</v>
      </c>
      <c r="J187" s="95"/>
    </row>
    <row r="188" spans="4:11" ht="21" x14ac:dyDescent="0.25">
      <c r="E188" s="84" t="s">
        <v>346</v>
      </c>
      <c r="G188" s="82">
        <f>MEDIAN(U109:U116,U98:U105,U83:U94,U76:U79,U64:U72,U55:U60,U45:U51,U39:U41,U29:U35,U21:U25,U6:U17)</f>
        <v>0.8666666666666667</v>
      </c>
      <c r="H188" s="81">
        <f>1-G188</f>
        <v>0.1333333333333333</v>
      </c>
    </row>
    <row r="189" spans="4:11" ht="21" x14ac:dyDescent="0.25">
      <c r="E189" s="87"/>
      <c r="G189" s="138"/>
    </row>
    <row r="190" spans="4:11" ht="21" x14ac:dyDescent="0.25">
      <c r="E190" s="88" t="s">
        <v>348</v>
      </c>
    </row>
    <row r="191" spans="4:11" ht="21.75" thickBot="1" x14ac:dyDescent="0.3">
      <c r="E191" s="84" t="s">
        <v>347</v>
      </c>
      <c r="G191" s="82">
        <f>AVERAGE(U52,U42,U36,U26)</f>
        <v>0.96726190476190477</v>
      </c>
      <c r="H191" s="81">
        <f>1-G191</f>
        <v>3.2738095238095233E-2</v>
      </c>
    </row>
    <row r="192" spans="4:11" ht="21.75" thickBot="1" x14ac:dyDescent="0.3">
      <c r="E192" s="84" t="s">
        <v>346</v>
      </c>
      <c r="G192" s="98">
        <f>MEDIAN(U45:U51,U39:U41,U29:U35,U21:U25,U6:U17)</f>
        <v>1</v>
      </c>
      <c r="H192" s="99">
        <f>1-G192</f>
        <v>0</v>
      </c>
    </row>
    <row r="193" spans="5:8" x14ac:dyDescent="0.25">
      <c r="E193" s="87"/>
    </row>
    <row r="194" spans="5:8" ht="21" x14ac:dyDescent="0.25">
      <c r="E194" s="88" t="s">
        <v>349</v>
      </c>
    </row>
    <row r="195" spans="5:8" ht="21.75" thickBot="1" x14ac:dyDescent="0.3">
      <c r="E195" s="84" t="s">
        <v>347</v>
      </c>
      <c r="G195" s="82">
        <f>AVERAGE(U117,U106,U95)</f>
        <v>0.51742724867724865</v>
      </c>
      <c r="H195" s="81">
        <f>1-G195</f>
        <v>0.48257275132275135</v>
      </c>
    </row>
    <row r="196" spans="5:8" ht="21.75" thickBot="1" x14ac:dyDescent="0.3">
      <c r="E196" s="84" t="s">
        <v>346</v>
      </c>
      <c r="G196" s="98">
        <f>MEDIAN(U109:U116,U98:U105,U83:U94,)</f>
        <v>0.5</v>
      </c>
      <c r="H196" s="99">
        <f>1-G196</f>
        <v>0.5</v>
      </c>
    </row>
    <row r="197" spans="5:8" x14ac:dyDescent="0.25">
      <c r="E197" s="87"/>
    </row>
    <row r="198" spans="5:8" x14ac:dyDescent="0.25">
      <c r="E198" s="87"/>
    </row>
    <row r="199" spans="5:8" ht="18.75" x14ac:dyDescent="0.25">
      <c r="E199" s="84" t="s">
        <v>354</v>
      </c>
      <c r="F199" s="110">
        <f>COUNTIF(U$6:U$116,"&gt;=50%")</f>
        <v>61</v>
      </c>
      <c r="G199" s="102">
        <f>F199/(SUM(F199:F200))</f>
        <v>0.82432432432432434</v>
      </c>
    </row>
    <row r="200" spans="5:8" ht="18.75" x14ac:dyDescent="0.25">
      <c r="E200" s="84" t="s">
        <v>355</v>
      </c>
      <c r="F200" s="111">
        <f>COUNTIF(U$6:U$116,"&lt;50%")</f>
        <v>13</v>
      </c>
      <c r="G200" s="103">
        <f>F200/(SUM(F199:F200))</f>
        <v>0.17567567567567569</v>
      </c>
    </row>
    <row r="201" spans="5:8" ht="15.75" thickBot="1" x14ac:dyDescent="0.3">
      <c r="E201" s="87"/>
    </row>
    <row r="202" spans="5:8" ht="18.75" x14ac:dyDescent="0.25">
      <c r="E202" s="84" t="s">
        <v>352</v>
      </c>
      <c r="F202" s="108">
        <f>SUMIF(U$6:U$116,"&gt;=50%",N$6:N$116)</f>
        <v>82950</v>
      </c>
      <c r="G202" s="100">
        <f>F202/(SUM(F202:F203))</f>
        <v>0.96306788496592399</v>
      </c>
    </row>
    <row r="203" spans="5:8" ht="19.5" thickBot="1" x14ac:dyDescent="0.3">
      <c r="E203" s="84" t="s">
        <v>353</v>
      </c>
      <c r="F203" s="109">
        <f>SUMIF(U$6:U$116,"&lt;50%",N$6:N$116)</f>
        <v>3181</v>
      </c>
      <c r="G203" s="101">
        <f>F203/(SUM(F202:F203))</f>
        <v>3.6932115034076E-2</v>
      </c>
    </row>
    <row r="204" spans="5:8" x14ac:dyDescent="0.25">
      <c r="E204" s="87"/>
      <c r="G204" s="1"/>
    </row>
    <row r="205" spans="5:8" ht="18.75" x14ac:dyDescent="0.25">
      <c r="E205" s="84" t="s">
        <v>357</v>
      </c>
      <c r="F205" s="107">
        <f>COUNTIFS(U$6:U$116,"&lt;=100%",U$6:U$116,"&gt;80%")</f>
        <v>38</v>
      </c>
      <c r="G205" s="102">
        <f t="shared" ref="G205:G211" si="116">F205/(SUM(F$199:F$200))</f>
        <v>0.51351351351351349</v>
      </c>
      <c r="H205" s="107">
        <v>43385</v>
      </c>
    </row>
    <row r="206" spans="5:8" ht="18.75" x14ac:dyDescent="0.25">
      <c r="E206" s="84" t="s">
        <v>358</v>
      </c>
      <c r="F206" s="107">
        <f>COUNTIFS(U$6:U$116,"&lt;=80%",U$6:U$116,"&gt;60%")</f>
        <v>14</v>
      </c>
      <c r="G206" s="102">
        <f t="shared" si="116"/>
        <v>0.1891891891891892</v>
      </c>
      <c r="H206" s="107">
        <v>8756</v>
      </c>
    </row>
    <row r="207" spans="5:8" ht="18.75" x14ac:dyDescent="0.25">
      <c r="E207" s="84" t="s">
        <v>359</v>
      </c>
      <c r="F207" s="107">
        <f>COUNTIFS(U$6:U$116,"&lt;=60%",U$6:U$116,"&gt;40%")</f>
        <v>9</v>
      </c>
      <c r="G207" s="102">
        <f t="shared" si="116"/>
        <v>0.12162162162162163</v>
      </c>
      <c r="H207" s="107">
        <v>25401</v>
      </c>
    </row>
    <row r="208" spans="5:8" ht="18.75" x14ac:dyDescent="0.25">
      <c r="E208" s="84" t="s">
        <v>360</v>
      </c>
      <c r="F208" s="107">
        <f>COUNTIFS(U$6:U$116,"&lt;=40%",U$6:U$116,"&gt;20%")</f>
        <v>2</v>
      </c>
      <c r="G208" s="102">
        <f t="shared" si="116"/>
        <v>2.7027027027027029E-2</v>
      </c>
      <c r="H208" s="107">
        <v>5408</v>
      </c>
    </row>
    <row r="209" spans="4:21" ht="18.75" x14ac:dyDescent="0.25">
      <c r="E209" s="84" t="s">
        <v>361</v>
      </c>
      <c r="F209" s="107">
        <f>COUNTIFS(U$6:U$116,"&lt;=20%",U$6:U$116,"&gt;0%")</f>
        <v>2</v>
      </c>
      <c r="G209" s="102">
        <f t="shared" si="116"/>
        <v>2.7027027027027029E-2</v>
      </c>
      <c r="H209" s="107">
        <v>2</v>
      </c>
    </row>
    <row r="210" spans="4:21" ht="18.75" x14ac:dyDescent="0.25">
      <c r="E210" s="84" t="s">
        <v>362</v>
      </c>
      <c r="F210" s="107">
        <f>COUNTIFS(U$6:U$116,"&lt;=25%",U$6:U$116,"&gt;10%")</f>
        <v>3</v>
      </c>
      <c r="G210" s="102">
        <f t="shared" si="116"/>
        <v>4.0540540540540543E-2</v>
      </c>
      <c r="H210" s="107">
        <v>589</v>
      </c>
    </row>
    <row r="211" spans="4:21" ht="18.75" x14ac:dyDescent="0.25">
      <c r="E211" s="84" t="s">
        <v>363</v>
      </c>
      <c r="F211" s="107">
        <f>COUNTIFS(U$6:U$116,"&lt;=10%",U$6:U$116,"&gt;=0%")</f>
        <v>9</v>
      </c>
      <c r="G211" s="102">
        <f t="shared" si="116"/>
        <v>0.12162162162162163</v>
      </c>
      <c r="H211" s="107">
        <v>2590</v>
      </c>
    </row>
    <row r="212" spans="4:21" ht="18.75" x14ac:dyDescent="0.25">
      <c r="E212" s="87"/>
      <c r="F212" s="106"/>
      <c r="G212" s="105"/>
      <c r="I212" s="35"/>
      <c r="U212" s="145" t="s">
        <v>496</v>
      </c>
    </row>
    <row r="213" spans="4:21" ht="18.75" x14ac:dyDescent="0.25">
      <c r="E213" s="84" t="s">
        <v>501</v>
      </c>
      <c r="F213" s="107">
        <f>SUMIFS(N$6:N$116,U$6:U$116,"&lt;=100%",U$6:U$116,"&gt;80%")</f>
        <v>47275</v>
      </c>
      <c r="G213" s="102">
        <f t="shared" ref="G213:G217" si="117">F213/(SUM(F$202:F$203))</f>
        <v>0.54887322798992233</v>
      </c>
      <c r="I213" s="35"/>
      <c r="U213" t="s">
        <v>497</v>
      </c>
    </row>
    <row r="214" spans="4:21" ht="18.75" x14ac:dyDescent="0.25">
      <c r="E214" s="84" t="s">
        <v>502</v>
      </c>
      <c r="F214" s="107">
        <f>SUMIFS(N$6:N$116,U$6:U$116,"&lt;=80%",U$6:U$116,"&gt;60%")</f>
        <v>30267</v>
      </c>
      <c r="G214" s="102">
        <f t="shared" si="117"/>
        <v>0.35140657835158073</v>
      </c>
      <c r="I214" s="35"/>
      <c r="U214" t="s">
        <v>498</v>
      </c>
    </row>
    <row r="215" spans="4:21" ht="18.75" x14ac:dyDescent="0.25">
      <c r="E215" s="84" t="s">
        <v>356</v>
      </c>
      <c r="F215" s="107">
        <f>SUMIFS(N$6:N$116,U$6:U$116,"&lt;=60%",U$6:U$116,"&gt;40%")</f>
        <v>5408</v>
      </c>
      <c r="G215" s="102">
        <f t="shared" si="117"/>
        <v>6.2788078624420943E-2</v>
      </c>
      <c r="U215" t="s">
        <v>499</v>
      </c>
    </row>
    <row r="216" spans="4:21" ht="18.75" x14ac:dyDescent="0.25">
      <c r="E216" s="84" t="s">
        <v>503</v>
      </c>
      <c r="F216" s="107">
        <f>SUMIFS(N$6:N$116,U$6:U$116,"&lt;=40%",U$6:U$116,"&gt;20%")</f>
        <v>564</v>
      </c>
      <c r="G216" s="102">
        <f t="shared" si="117"/>
        <v>6.5481650044699356E-3</v>
      </c>
      <c r="U216" t="s">
        <v>500</v>
      </c>
    </row>
    <row r="217" spans="4:21" ht="18.75" x14ac:dyDescent="0.25">
      <c r="E217" s="84" t="s">
        <v>504</v>
      </c>
      <c r="F217" s="107">
        <f>SUMIFS(N$6:N$116,U$6:U$116,"&lt;=20%",U$6:U$116,"&gt;0%")</f>
        <v>27</v>
      </c>
      <c r="G217" s="102">
        <f t="shared" si="117"/>
        <v>3.1347598425653946E-4</v>
      </c>
    </row>
    <row r="218" spans="4:21" ht="17.25" customHeight="1" x14ac:dyDescent="0.25">
      <c r="E218" s="80"/>
      <c r="F218" s="107"/>
      <c r="G218" s="107"/>
    </row>
    <row r="219" spans="4:21" ht="15.75" x14ac:dyDescent="0.25">
      <c r="E219" s="80"/>
      <c r="F219" s="107"/>
      <c r="G219" s="107"/>
    </row>
    <row r="220" spans="4:21" ht="18.75" x14ac:dyDescent="0.25">
      <c r="E220" s="87"/>
      <c r="F220" s="35"/>
      <c r="G220" s="104"/>
      <c r="H220" s="105"/>
    </row>
    <row r="221" spans="4:21" ht="21.75" thickBot="1" x14ac:dyDescent="0.3">
      <c r="D221" s="141"/>
      <c r="E221" s="88" t="s">
        <v>368</v>
      </c>
      <c r="F221" s="141" t="s">
        <v>378</v>
      </c>
      <c r="G221" s="141" t="s">
        <v>380</v>
      </c>
      <c r="H221" s="141" t="s">
        <v>381</v>
      </c>
      <c r="I221" s="141" t="s">
        <v>379</v>
      </c>
      <c r="J221">
        <f>COUNTIFS(I$6:I$116,"&lt;&gt;*,*",J$6:J$116,"&lt;&gt;*,*",N$6:N$116,"&gt;=0")</f>
        <v>15</v>
      </c>
      <c r="K221">
        <f>COUNTIF(N$6:N$116,"&gt;=0")</f>
        <v>81</v>
      </c>
      <c r="L221">
        <f>SUMIFS(N$6:N$116,F$6:F$116,"*h*",I$6:I$116,"&lt;&gt;*,*",J$6:J$116,"&lt;&gt;*,*")</f>
        <v>8165</v>
      </c>
      <c r="M221" s="123">
        <f>SUM(N6:N116)</f>
        <v>94925</v>
      </c>
    </row>
    <row r="222" spans="4:21" ht="18.75" x14ac:dyDescent="0.25">
      <c r="D222" s="141" t="s">
        <v>461</v>
      </c>
      <c r="E222" s="84" t="s">
        <v>467</v>
      </c>
      <c r="F222" s="140">
        <f>COUNTIF(J$6:J$116,"*Cancérogène*")</f>
        <v>34</v>
      </c>
      <c r="G222" s="102">
        <f>F222/(K$221)</f>
        <v>0.41975308641975306</v>
      </c>
      <c r="H222" s="100">
        <f>I222/(SUM($M$221))</f>
        <v>0.78239662891756645</v>
      </c>
      <c r="I222" s="27">
        <f>SUMIFS(N$6:N$116,J$6:J$116,"*Cancérogène*")</f>
        <v>74269</v>
      </c>
      <c r="J222" s="35"/>
      <c r="K222" s="35"/>
    </row>
    <row r="223" spans="4:21" ht="18.75" x14ac:dyDescent="0.25">
      <c r="D223" s="141" t="s">
        <v>459</v>
      </c>
      <c r="E223" s="84" t="s">
        <v>440</v>
      </c>
      <c r="F223" s="140">
        <f>COUNTIF(J$6:J$116,"*pétition*")</f>
        <v>12</v>
      </c>
      <c r="G223" s="102">
        <f t="shared" ref="G223:G233" si="118">F223/(K$221)</f>
        <v>0.14814814814814814</v>
      </c>
      <c r="H223" s="124">
        <f t="shared" ref="H223:H233" si="119">I223/(SUM($M$221))</f>
        <v>0.44267579668159074</v>
      </c>
      <c r="I223" s="27">
        <f>SUMIFS(N$6:N$116,J$6:J$116,"*pétition*")</f>
        <v>42021</v>
      </c>
      <c r="J223" s="35"/>
      <c r="K223" s="35"/>
    </row>
    <row r="224" spans="4:21" ht="18.75" x14ac:dyDescent="0.25">
      <c r="D224" s="141" t="s">
        <v>462</v>
      </c>
      <c r="E224" s="84" t="s">
        <v>441</v>
      </c>
      <c r="F224" s="140">
        <f>COUNTIF(J$6:J$116,"*lobby*")</f>
        <v>16</v>
      </c>
      <c r="G224" s="102">
        <f t="shared" si="118"/>
        <v>0.19753086419753085</v>
      </c>
      <c r="H224" s="124">
        <f t="shared" si="119"/>
        <v>0.30717935212009478</v>
      </c>
      <c r="I224" s="27">
        <f>SUMIFS(N$6:N$116,J$6:J$116,"*lobby*")</f>
        <v>29159</v>
      </c>
      <c r="J224" s="35"/>
      <c r="K224" s="35"/>
    </row>
    <row r="225" spans="4:12" ht="18.75" x14ac:dyDescent="0.25">
      <c r="D225" s="141" t="s">
        <v>462</v>
      </c>
      <c r="E225" s="84" t="s">
        <v>442</v>
      </c>
      <c r="F225" s="140">
        <f>COUNTIF(J$6:J$116,"*Papers*")</f>
        <v>13</v>
      </c>
      <c r="G225" s="102">
        <f t="shared" si="118"/>
        <v>0.16049382716049382</v>
      </c>
      <c r="H225" s="124">
        <f t="shared" si="119"/>
        <v>0.30610481959441666</v>
      </c>
      <c r="I225" s="27">
        <f>SUMIFS(N$6:N$116,J$6:J$116,"*paper*")</f>
        <v>29057</v>
      </c>
      <c r="J225" s="35"/>
      <c r="K225" s="35"/>
    </row>
    <row r="226" spans="4:12" ht="18.75" x14ac:dyDescent="0.25">
      <c r="D226" s="141" t="s">
        <v>461</v>
      </c>
      <c r="E226" s="84" t="s">
        <v>447</v>
      </c>
      <c r="F226" s="140">
        <f>COUNTIF(J$6:J$116,"*sanitaire*")</f>
        <v>21</v>
      </c>
      <c r="G226" s="102">
        <f t="shared" si="118"/>
        <v>0.25925925925925924</v>
      </c>
      <c r="H226" s="124">
        <f t="shared" si="119"/>
        <v>0.25906768501448513</v>
      </c>
      <c r="I226" s="27">
        <f>SUMIFS(N$6:N$116,J$6:J$116,"*sanitaire*")</f>
        <v>24592</v>
      </c>
      <c r="J226" s="35"/>
      <c r="K226" s="35"/>
    </row>
    <row r="227" spans="4:12" ht="18.75" x14ac:dyDescent="0.25">
      <c r="D227" s="141" t="s">
        <v>460</v>
      </c>
      <c r="E227" s="84" t="s">
        <v>443</v>
      </c>
      <c r="F227" s="140">
        <f>COUNTIF(J$6:J$116,"*Environ*")</f>
        <v>13</v>
      </c>
      <c r="G227" s="102">
        <f t="shared" si="118"/>
        <v>0.16049382716049382</v>
      </c>
      <c r="H227" s="124">
        <f t="shared" si="119"/>
        <v>0.24498288122201739</v>
      </c>
      <c r="I227" s="27">
        <f>SUMIFS(N$6:N$116,J$6:J$116,"*environ*")</f>
        <v>23255</v>
      </c>
      <c r="J227" s="35"/>
      <c r="K227" s="35"/>
    </row>
    <row r="228" spans="4:12" ht="18.75" x14ac:dyDescent="0.25">
      <c r="D228" s="141" t="s">
        <v>461</v>
      </c>
      <c r="E228" s="84" t="s">
        <v>444</v>
      </c>
      <c r="F228" s="140">
        <f>COUNTIF(J$6:J$116,"*agriculteur*")</f>
        <v>7</v>
      </c>
      <c r="G228" s="102">
        <f t="shared" si="118"/>
        <v>8.6419753086419748E-2</v>
      </c>
      <c r="H228" s="124">
        <f t="shared" si="119"/>
        <v>0.17405319989465368</v>
      </c>
      <c r="I228" s="27">
        <f>SUMIFS(N$6:N$116,J$6:J$116,"*agricult*")</f>
        <v>16522</v>
      </c>
      <c r="J228" s="35"/>
      <c r="K228" s="35"/>
    </row>
    <row r="229" spans="4:12" ht="18.75" x14ac:dyDescent="0.25">
      <c r="D229" s="141" t="s">
        <v>461</v>
      </c>
      <c r="E229" s="84" t="s">
        <v>445</v>
      </c>
      <c r="F229" s="140">
        <f>COUNTIF(J$6:J$116,"*Préc*")</f>
        <v>15</v>
      </c>
      <c r="G229" s="102">
        <f t="shared" si="118"/>
        <v>0.18518518518518517</v>
      </c>
      <c r="H229" s="124">
        <f t="shared" si="119"/>
        <v>0.17423228864893336</v>
      </c>
      <c r="I229" s="27">
        <f>SUMIFS(N$6:N$116,J$6:J$116,"*préc*")</f>
        <v>16539</v>
      </c>
      <c r="J229" s="35" t="s">
        <v>459</v>
      </c>
      <c r="K229" s="35">
        <f>SUMIFS(F$222:F$233,D$222:D$233,J229)</f>
        <v>12</v>
      </c>
      <c r="L229" s="134">
        <f>K229/K$234</f>
        <v>8.4507042253521125E-2</v>
      </c>
    </row>
    <row r="230" spans="4:12" ht="18.75" x14ac:dyDescent="0.25">
      <c r="D230" s="141" t="s">
        <v>462</v>
      </c>
      <c r="E230" s="84" t="s">
        <v>449</v>
      </c>
      <c r="F230" s="140">
        <f>COUNTIF(J$6:J$116,"*Corromp*")</f>
        <v>6</v>
      </c>
      <c r="G230" s="102">
        <f t="shared" si="118"/>
        <v>7.407407407407407E-2</v>
      </c>
      <c r="H230" s="124">
        <f t="shared" si="119"/>
        <v>0.14622070055306821</v>
      </c>
      <c r="I230" s="27">
        <f>SUMIFS(N$6:N$116,J$6:J$116,"*corromp*")</f>
        <v>13880</v>
      </c>
      <c r="J230" s="35" t="s">
        <v>460</v>
      </c>
      <c r="K230" s="35">
        <f t="shared" ref="K230:K233" si="120">SUMIFS(F$222:F$233,D$222:D$233,J230)</f>
        <v>13</v>
      </c>
      <c r="L230" s="134">
        <f t="shared" ref="L230:L233" si="121">K230/K$234</f>
        <v>9.154929577464789E-2</v>
      </c>
    </row>
    <row r="231" spans="4:12" ht="18.75" x14ac:dyDescent="0.25">
      <c r="D231" s="141"/>
      <c r="E231" s="84" t="s">
        <v>446</v>
      </c>
      <c r="F231" s="140">
        <f>COUNTIF(J$6:J$116,"*racheté*")</f>
        <v>5</v>
      </c>
      <c r="G231" s="102">
        <f t="shared" si="118"/>
        <v>6.1728395061728392E-2</v>
      </c>
      <c r="H231" s="124">
        <f t="shared" si="119"/>
        <v>5.8509349486436664E-2</v>
      </c>
      <c r="I231" s="27">
        <f>SUMIFS(N$6:N$116,J$6:J$116,"*racheté*")</f>
        <v>5554</v>
      </c>
      <c r="J231" s="35" t="s">
        <v>461</v>
      </c>
      <c r="K231" s="35">
        <f t="shared" si="120"/>
        <v>77</v>
      </c>
      <c r="L231" s="134">
        <f t="shared" si="121"/>
        <v>0.54225352112676062</v>
      </c>
    </row>
    <row r="232" spans="4:12" ht="18.75" x14ac:dyDescent="0.25">
      <c r="D232" s="141" t="s">
        <v>466</v>
      </c>
      <c r="E232" s="84" t="s">
        <v>448</v>
      </c>
      <c r="F232" s="140">
        <f>COUNTIF(J$6:J$116,"*Incomp*")</f>
        <v>4</v>
      </c>
      <c r="G232" s="102">
        <f t="shared" si="118"/>
        <v>4.9382716049382713E-2</v>
      </c>
      <c r="H232" s="124">
        <f t="shared" si="119"/>
        <v>4.0821701343165658E-2</v>
      </c>
      <c r="I232" s="27">
        <f>SUMIFS(N$6:N$116,J$6:J$116,"*incomp*")</f>
        <v>3875</v>
      </c>
      <c r="J232" s="35" t="s">
        <v>462</v>
      </c>
      <c r="K232" s="35">
        <f t="shared" si="120"/>
        <v>35</v>
      </c>
      <c r="L232" s="134">
        <f t="shared" si="121"/>
        <v>0.24647887323943662</v>
      </c>
    </row>
    <row r="233" spans="4:12" ht="14.25" customHeight="1" thickBot="1" x14ac:dyDescent="0.3">
      <c r="D233" s="141" t="s">
        <v>463</v>
      </c>
      <c r="E233" s="84" t="s">
        <v>366</v>
      </c>
      <c r="F233" s="140">
        <f>COUNTIF(J$6:J$116,"*Alternativ*")</f>
        <v>5</v>
      </c>
      <c r="G233" s="102">
        <f t="shared" si="118"/>
        <v>6.1728395061728392E-2</v>
      </c>
      <c r="H233" s="125">
        <f t="shared" si="119"/>
        <v>1.2178035291019226E-2</v>
      </c>
      <c r="I233" s="27">
        <f>SUMIFS(N$6:N$116,J$6:J$116,"*alternativ*")</f>
        <v>1156</v>
      </c>
      <c r="J233" s="35" t="s">
        <v>463</v>
      </c>
      <c r="K233" s="35">
        <f t="shared" si="120"/>
        <v>5</v>
      </c>
      <c r="L233" s="134">
        <f t="shared" si="121"/>
        <v>3.5211267605633804E-2</v>
      </c>
    </row>
    <row r="234" spans="4:12" ht="15.75" x14ac:dyDescent="0.25">
      <c r="D234" s="141"/>
      <c r="E234" s="84"/>
      <c r="F234" s="140"/>
      <c r="G234" s="144">
        <v>0.8</v>
      </c>
      <c r="H234" s="144">
        <v>0.8</v>
      </c>
      <c r="I234" s="141"/>
      <c r="J234" s="35"/>
      <c r="K234" s="35">
        <f>SUM(K229:K233)</f>
        <v>142</v>
      </c>
      <c r="L234" s="134"/>
    </row>
    <row r="235" spans="4:12" ht="21.75" thickBot="1" x14ac:dyDescent="0.3">
      <c r="D235" s="141"/>
      <c r="E235" s="88" t="s">
        <v>369</v>
      </c>
      <c r="F235" s="140"/>
      <c r="G235" s="141"/>
      <c r="H235" s="141" t="s">
        <v>381</v>
      </c>
      <c r="I235" s="141" t="s">
        <v>379</v>
      </c>
      <c r="J235" s="35"/>
      <c r="K235" s="35"/>
      <c r="L235" s="134"/>
    </row>
    <row r="236" spans="4:12" ht="18.75" x14ac:dyDescent="0.25">
      <c r="D236" s="141" t="s">
        <v>464</v>
      </c>
      <c r="E236" s="84" t="s">
        <v>486</v>
      </c>
      <c r="F236" s="140">
        <f>COUNTIF(I$6:I$116,"*économie*")</f>
        <v>10</v>
      </c>
      <c r="G236" s="103">
        <f>F236/(K$221)</f>
        <v>0.12345679012345678</v>
      </c>
      <c r="H236" s="100">
        <f>I236/(SUM($M$221))</f>
        <v>6.4861732947063475E-2</v>
      </c>
      <c r="I236" s="27">
        <f>SUMIFS(N$6:N$116,I$6:I$116,"*économ*")</f>
        <v>6157</v>
      </c>
      <c r="J236" s="35" t="s">
        <v>464</v>
      </c>
      <c r="K236" s="35">
        <f>SUMIFS(F$236:F$247,D$236:D$247,J236)</f>
        <v>25</v>
      </c>
      <c r="L236" s="134">
        <f>K236/K$240</f>
        <v>0.5</v>
      </c>
    </row>
    <row r="237" spans="4:12" ht="18.75" x14ac:dyDescent="0.25">
      <c r="D237" s="141" t="s">
        <v>461</v>
      </c>
      <c r="E237" s="84" t="s">
        <v>450</v>
      </c>
      <c r="F237" s="140">
        <f>COUNTIF(I$6:I$116,"*AHS*")</f>
        <v>6</v>
      </c>
      <c r="G237" s="103">
        <f t="shared" ref="G237:G247" si="122">F237/(K$221)</f>
        <v>7.407407407407407E-2</v>
      </c>
      <c r="H237" s="124">
        <f t="shared" ref="H237:H247" si="123">I237/(SUM($M$221))</f>
        <v>5.5075059257308399E-2</v>
      </c>
      <c r="I237" s="27">
        <f>SUMIFS(N$6:N$116,I$6:I$116,"*AHS*")</f>
        <v>5228</v>
      </c>
      <c r="J237" s="35" t="s">
        <v>461</v>
      </c>
      <c r="K237" s="35">
        <f t="shared" ref="K237:K239" si="124">SUMIFS(F$236:F$247,D$236:D$247,J237)</f>
        <v>8</v>
      </c>
      <c r="L237" s="134">
        <f t="shared" ref="L237:L239" si="125">K237/K$240</f>
        <v>0.16</v>
      </c>
    </row>
    <row r="238" spans="4:12" ht="18.75" x14ac:dyDescent="0.25">
      <c r="D238" s="141" t="s">
        <v>464</v>
      </c>
      <c r="E238" s="84" t="s">
        <v>451</v>
      </c>
      <c r="F238" s="140">
        <f>COUNTIF(I$6:I$116,"*loyal*")</f>
        <v>13</v>
      </c>
      <c r="G238" s="103">
        <f t="shared" si="122"/>
        <v>0.16049382716049382</v>
      </c>
      <c r="H238" s="124">
        <f t="shared" si="123"/>
        <v>4.0853305240979722E-2</v>
      </c>
      <c r="I238" s="27">
        <f>SUMIFS(N$6:N$116,I$6:I$116,"*loyal*")</f>
        <v>3878</v>
      </c>
      <c r="J238" s="35" t="s">
        <v>463</v>
      </c>
      <c r="K238" s="35">
        <f t="shared" si="124"/>
        <v>9</v>
      </c>
      <c r="L238" s="134">
        <f t="shared" si="125"/>
        <v>0.18</v>
      </c>
    </row>
    <row r="239" spans="4:12" ht="18.75" x14ac:dyDescent="0.25">
      <c r="D239" s="141" t="s">
        <v>463</v>
      </c>
      <c r="E239" s="84" t="s">
        <v>453</v>
      </c>
      <c r="F239" s="140">
        <f>COUNTIF(I$6:I$116,"*d'alternativ*")</f>
        <v>9</v>
      </c>
      <c r="G239" s="103">
        <f t="shared" si="122"/>
        <v>0.1111111111111111</v>
      </c>
      <c r="H239" s="124">
        <f t="shared" si="123"/>
        <v>3.7703450092178036E-2</v>
      </c>
      <c r="I239" s="27">
        <f>SUMIFS(N$6:N$116,I$6:I$116,"*alternativ*")</f>
        <v>3579</v>
      </c>
      <c r="J239" s="35" t="s">
        <v>460</v>
      </c>
      <c r="K239" s="35">
        <f t="shared" si="124"/>
        <v>8</v>
      </c>
      <c r="L239" s="134">
        <f t="shared" si="125"/>
        <v>0.16</v>
      </c>
    </row>
    <row r="240" spans="4:12" ht="18.75" x14ac:dyDescent="0.25">
      <c r="D240" s="141" t="s">
        <v>466</v>
      </c>
      <c r="E240" s="84" t="s">
        <v>452</v>
      </c>
      <c r="F240" s="140">
        <f>COUNTIF(I$6:I$116,"*idéologique*")</f>
        <v>7</v>
      </c>
      <c r="G240" s="103">
        <f t="shared" si="122"/>
        <v>8.6419753086419748E-2</v>
      </c>
      <c r="H240" s="124">
        <f t="shared" si="123"/>
        <v>2.0331840927047668E-2</v>
      </c>
      <c r="I240" s="27">
        <f>SUMIFS(N$6:N$116,I$6:I$116,"*idéolo*")</f>
        <v>1930</v>
      </c>
      <c r="J240" s="35"/>
      <c r="K240" s="35">
        <f>SUM(K236:K239)</f>
        <v>50</v>
      </c>
    </row>
    <row r="241" spans="4:13" ht="18.75" x14ac:dyDescent="0.25">
      <c r="D241" s="141" t="s">
        <v>460</v>
      </c>
      <c r="E241" s="84" t="s">
        <v>465</v>
      </c>
      <c r="F241" s="140">
        <f>COUNTIF(I$6:I$116,"*co2*")</f>
        <v>3</v>
      </c>
      <c r="G241" s="103">
        <f t="shared" si="122"/>
        <v>3.7037037037037035E-2</v>
      </c>
      <c r="H241" s="124">
        <f t="shared" si="123"/>
        <v>1.6212799578614694E-2</v>
      </c>
      <c r="I241" s="27">
        <f>SUMIFS(N$6:N$116,I$6:I$116,"*CO2*")</f>
        <v>1539</v>
      </c>
      <c r="J241" s="35"/>
      <c r="K241" s="87">
        <f>COUNTIFS(J$6:J$116,"*agric*")</f>
        <v>7</v>
      </c>
      <c r="L241" s="87" t="s">
        <v>487</v>
      </c>
    </row>
    <row r="242" spans="4:13" ht="18.75" x14ac:dyDescent="0.25">
      <c r="D242" s="141" t="s">
        <v>460</v>
      </c>
      <c r="E242" s="84" t="s">
        <v>454</v>
      </c>
      <c r="F242" s="140">
        <f>COUNTIF(I$6:I$116,"*préservation*")</f>
        <v>2</v>
      </c>
      <c r="G242" s="103">
        <f t="shared" si="122"/>
        <v>2.4691358024691357E-2</v>
      </c>
      <c r="H242" s="124">
        <f t="shared" si="123"/>
        <v>1.4232288648933368E-2</v>
      </c>
      <c r="I242" s="27">
        <f>SUMIFS(N$6:N$116,I$6:I$116,"*préserv*")</f>
        <v>1351</v>
      </c>
      <c r="J242" s="35" t="s">
        <v>493</v>
      </c>
      <c r="K242" s="87">
        <f>COUNTIFS(J$6:J$116,"*canc*",J$6:J$116,"*sani*")</f>
        <v>12</v>
      </c>
      <c r="L242" s="87" t="s">
        <v>489</v>
      </c>
    </row>
    <row r="243" spans="4:13" ht="18.75" x14ac:dyDescent="0.25">
      <c r="D243" s="141" t="s">
        <v>460</v>
      </c>
      <c r="E243" s="84" t="s">
        <v>455</v>
      </c>
      <c r="F243" s="140">
        <f>COUNTIF(I$6:I$116,"*nombre*")</f>
        <v>2</v>
      </c>
      <c r="G243" s="103">
        <f t="shared" si="122"/>
        <v>2.4691358024691357E-2</v>
      </c>
      <c r="H243" s="124">
        <f t="shared" si="123"/>
        <v>1.4095338425072426E-2</v>
      </c>
      <c r="I243" s="27">
        <f>SUMIFS(N$6:N$116,I$6:I$116,"*nombre*")</f>
        <v>1338</v>
      </c>
      <c r="J243" s="35">
        <f>COUNTIFS(I$6:I$116,"*AHS*",J6:J116,"*AHS*")</f>
        <v>2</v>
      </c>
      <c r="K243" s="87">
        <f>COUNTIFS(J$6:J$116,"*canc*",J$6:J$116,"&lt;&gt;*sani*")</f>
        <v>22</v>
      </c>
      <c r="L243" s="87" t="s">
        <v>488</v>
      </c>
    </row>
    <row r="244" spans="4:13" ht="18.75" x14ac:dyDescent="0.25">
      <c r="D244" s="141" t="s">
        <v>464</v>
      </c>
      <c r="E244" s="84" t="s">
        <v>456</v>
      </c>
      <c r="F244" s="140">
        <f>COUNTIF(I$6:I$116,"*rendemen*")</f>
        <v>2</v>
      </c>
      <c r="G244" s="103">
        <f t="shared" si="122"/>
        <v>2.4691358024691357E-2</v>
      </c>
      <c r="H244" s="124">
        <f t="shared" si="123"/>
        <v>1.1893600210692652E-2</v>
      </c>
      <c r="I244" s="27">
        <f>SUMIFS(N$6:N$116,I$6:I$116,"*rendem*")</f>
        <v>1129</v>
      </c>
      <c r="J244" s="35">
        <f>COUNTIFS(I$6:I$116,"*canc*")</f>
        <v>1</v>
      </c>
      <c r="K244" s="87">
        <f>COUNTIFS(J$6:J$116,"*sani*",J$6:J$116,"&lt;&gt;*canc*")</f>
        <v>9</v>
      </c>
      <c r="L244" s="87" t="s">
        <v>382</v>
      </c>
    </row>
    <row r="245" spans="4:13" ht="18.75" x14ac:dyDescent="0.25">
      <c r="D245" s="141" t="s">
        <v>460</v>
      </c>
      <c r="E245" s="84" t="s">
        <v>457</v>
      </c>
      <c r="F245" s="140">
        <f>COUNTIF(I$6:I$116,"*quantité*")</f>
        <v>1</v>
      </c>
      <c r="G245" s="103">
        <f t="shared" si="122"/>
        <v>1.2345679012345678E-2</v>
      </c>
      <c r="H245" s="124">
        <f t="shared" si="123"/>
        <v>5.9731366868580457E-3</v>
      </c>
      <c r="I245" s="27">
        <f>SUMIFS(N$6:N$116,I$6:I$116,"*quantité*")</f>
        <v>567</v>
      </c>
      <c r="J245" s="35">
        <v>3</v>
      </c>
      <c r="K245" s="35"/>
    </row>
    <row r="246" spans="4:13" ht="18.75" x14ac:dyDescent="0.25">
      <c r="D246" s="141" t="s">
        <v>461</v>
      </c>
      <c r="E246" s="84" t="s">
        <v>458</v>
      </c>
      <c r="F246" s="140">
        <f>COUNTIF(I$6:I$116,"*résidus*")</f>
        <v>1</v>
      </c>
      <c r="G246" s="103">
        <f t="shared" si="122"/>
        <v>1.2345679012345678E-2</v>
      </c>
      <c r="H246" s="124">
        <f t="shared" si="123"/>
        <v>7.3742428232815378E-4</v>
      </c>
      <c r="I246" s="27">
        <v>70</v>
      </c>
      <c r="J246" s="35" t="s">
        <v>494</v>
      </c>
      <c r="K246" s="35"/>
    </row>
    <row r="247" spans="4:13" ht="19.5" thickBot="1" x14ac:dyDescent="0.3">
      <c r="D247" s="141" t="s">
        <v>461</v>
      </c>
      <c r="E247" s="84" t="s">
        <v>367</v>
      </c>
      <c r="F247" s="140">
        <f>COUNTIF(I$6:I$116,"*cancéro*")</f>
        <v>1</v>
      </c>
      <c r="G247" s="103">
        <f t="shared" si="122"/>
        <v>1.2345679012345678E-2</v>
      </c>
      <c r="H247" s="125">
        <f t="shared" si="123"/>
        <v>4.1085067158282856E-4</v>
      </c>
      <c r="I247" s="27">
        <f>SUMIFS(N$6:N$116,I$6:I$116,"*cancé*")</f>
        <v>39</v>
      </c>
      <c r="J247" s="87" t="s">
        <v>490</v>
      </c>
      <c r="K247" s="87">
        <v>21</v>
      </c>
    </row>
    <row r="248" spans="4:13" x14ac:dyDescent="0.25">
      <c r="G248" s="139">
        <v>0.8</v>
      </c>
      <c r="H248" s="139">
        <v>0.8</v>
      </c>
      <c r="I248" s="112"/>
      <c r="J248" s="87" t="s">
        <v>487</v>
      </c>
      <c r="K248" s="87">
        <v>7</v>
      </c>
    </row>
    <row r="249" spans="4:13" ht="28.5" x14ac:dyDescent="0.25">
      <c r="D249" s="64" t="s">
        <v>377</v>
      </c>
      <c r="E249" s="24"/>
      <c r="H249" s="112"/>
      <c r="I249" s="112"/>
      <c r="J249" s="87" t="s">
        <v>491</v>
      </c>
      <c r="K249" s="87">
        <f>22+9+12</f>
        <v>43</v>
      </c>
    </row>
    <row r="250" spans="4:13" ht="18.75" x14ac:dyDescent="0.3">
      <c r="E250" s="65"/>
      <c r="H250" s="112"/>
      <c r="I250" s="113"/>
      <c r="J250" s="87" t="s">
        <v>492</v>
      </c>
      <c r="K250" s="87">
        <v>3</v>
      </c>
    </row>
    <row r="251" spans="4:13" ht="21" x14ac:dyDescent="0.25">
      <c r="E251" s="88" t="s">
        <v>364</v>
      </c>
      <c r="G251" s="35" t="s">
        <v>383</v>
      </c>
      <c r="H251" s="35"/>
      <c r="J251">
        <f>COUNTIFS(I$6:I$116,"&lt;&gt;*,*",J$6:J$116,"&lt;&gt;*,*",N$6:N$116,"&gt;=0")</f>
        <v>15</v>
      </c>
      <c r="K251">
        <f>COUNTIF(N$6:N$116,"&gt;=0")</f>
        <v>81</v>
      </c>
      <c r="L251">
        <f>SUMIFS(N$6:N$116,F$6:F$116,"*h*",K$6:K$116,"&lt;&gt;*,*")</f>
        <v>29418</v>
      </c>
      <c r="M251" s="123">
        <f>SUM(N6:N116)</f>
        <v>94925</v>
      </c>
    </row>
    <row r="252" spans="4:13" ht="15.75" x14ac:dyDescent="0.25">
      <c r="E252" s="84"/>
      <c r="H252" s="112"/>
      <c r="I252" s="112"/>
      <c r="J252" s="35"/>
      <c r="K252" s="35"/>
    </row>
    <row r="253" spans="4:13" ht="18.75" x14ac:dyDescent="0.25">
      <c r="E253" s="84" t="s">
        <v>481</v>
      </c>
      <c r="F253" s="115">
        <f>COUNTIF(K$6:K$116,"*CIRC*")</f>
        <v>30</v>
      </c>
      <c r="G253" s="102">
        <f>F253/(K$221)</f>
        <v>0.37037037037037035</v>
      </c>
      <c r="H253" s="102">
        <f>I253/(SUM($M$251))</f>
        <v>0.68033710824335003</v>
      </c>
      <c r="I253" s="113">
        <f>SUMIFS(N$6:N$116,K$6:K$116,"*CIRC*")</f>
        <v>64581</v>
      </c>
      <c r="J253" s="35"/>
      <c r="K253" s="35"/>
    </row>
    <row r="254" spans="4:13" ht="15.75" x14ac:dyDescent="0.25">
      <c r="E254" s="84"/>
      <c r="H254" s="41"/>
      <c r="I254" s="112"/>
      <c r="J254" s="35"/>
      <c r="K254" s="35"/>
    </row>
    <row r="255" spans="4:13" ht="21" x14ac:dyDescent="0.25">
      <c r="E255" s="88" t="s">
        <v>365</v>
      </c>
      <c r="H255" s="41"/>
      <c r="I255" s="113"/>
      <c r="J255" s="35"/>
      <c r="K255" s="35"/>
    </row>
    <row r="256" spans="4:13" ht="15.75" x14ac:dyDescent="0.25">
      <c r="E256" s="84"/>
      <c r="H256" s="35" t="s">
        <v>381</v>
      </c>
      <c r="I256" s="35" t="s">
        <v>379</v>
      </c>
      <c r="J256" s="35"/>
      <c r="K256" s="35"/>
    </row>
    <row r="257" spans="4:12" ht="18.75" x14ac:dyDescent="0.25">
      <c r="E257" s="84" t="s">
        <v>468</v>
      </c>
      <c r="F257" s="115">
        <f>COUNTIF(K$6:K$116,"*EFSA*")</f>
        <v>11</v>
      </c>
      <c r="G257" s="103">
        <f>F257/(K$221)</f>
        <v>0.13580246913580246</v>
      </c>
      <c r="H257" s="102">
        <f>I257/(SUM($M$251))</f>
        <v>0.29742428232815382</v>
      </c>
      <c r="I257" s="41">
        <f>SUMIFS(N$6:N$116,K$6:K$116,"*EFSA*")</f>
        <v>28233</v>
      </c>
      <c r="J257" s="35"/>
      <c r="K257" s="35"/>
      <c r="L257">
        <f>COUNTIF(E253:E269,"*POUR*")</f>
        <v>13</v>
      </c>
    </row>
    <row r="258" spans="4:12" ht="18.75" x14ac:dyDescent="0.25">
      <c r="E258" s="84" t="s">
        <v>469</v>
      </c>
      <c r="F258" s="115">
        <f>COUNTIF(K$6:K$116,"*ECHA*")</f>
        <v>10</v>
      </c>
      <c r="G258" s="103">
        <f t="shared" ref="G258:G269" si="126">F258/(K$221)</f>
        <v>0.12345679012345678</v>
      </c>
      <c r="H258" s="102">
        <f t="shared" ref="H258:H269" si="127">I258/(SUM($M$251))</f>
        <v>0.25984724782723201</v>
      </c>
      <c r="I258" s="41">
        <f>SUMIFS(N$6:N$116,K$6:K$116,"*ECHA*")</f>
        <v>24666</v>
      </c>
      <c r="J258" s="35"/>
      <c r="K258" s="35"/>
      <c r="L258">
        <f>COUNTIF(E253:E269,"*CONTRE*")</f>
        <v>1</v>
      </c>
    </row>
    <row r="259" spans="4:12" ht="18.75" x14ac:dyDescent="0.25">
      <c r="E259" s="84" t="s">
        <v>470</v>
      </c>
      <c r="F259" s="115">
        <f>COUNTIF(K$6:K$116,"*Anses*")</f>
        <v>1</v>
      </c>
      <c r="G259" s="103">
        <f t="shared" si="126"/>
        <v>1.2345679012345678E-2</v>
      </c>
      <c r="H259" s="102">
        <f t="shared" si="127"/>
        <v>5.9731366868580457E-3</v>
      </c>
      <c r="I259" s="41">
        <f>SUMIFS(N$6:N$116,K$6:K$116,"*Anses*")</f>
        <v>567</v>
      </c>
    </row>
    <row r="260" spans="4:12" ht="18.75" x14ac:dyDescent="0.25">
      <c r="E260" s="84" t="s">
        <v>471</v>
      </c>
      <c r="F260" s="115">
        <f>COUNTIF(K$6:K$116,"*FAO*")</f>
        <v>1</v>
      </c>
      <c r="G260" s="103">
        <f t="shared" si="126"/>
        <v>1.2345679012345678E-2</v>
      </c>
      <c r="H260" s="102">
        <f t="shared" si="127"/>
        <v>8.4277060837503292E-4</v>
      </c>
      <c r="I260" s="41">
        <f>SUMIFS(N$6:N$116,K$6:K$116,"*FAO*")</f>
        <v>80</v>
      </c>
      <c r="J260" s="35"/>
      <c r="K260" s="35"/>
      <c r="L260" s="134">
        <f>1-L258/L257</f>
        <v>0.92307692307692313</v>
      </c>
    </row>
    <row r="261" spans="4:12" ht="18.75" x14ac:dyDescent="0.25">
      <c r="E261" s="84" t="s">
        <v>472</v>
      </c>
      <c r="F261" s="115">
        <f>COUNTIF(K$6:K$116,"*BAuA*")</f>
        <v>0</v>
      </c>
      <c r="G261" s="103">
        <f t="shared" si="126"/>
        <v>0</v>
      </c>
      <c r="H261" s="102">
        <f t="shared" si="127"/>
        <v>0</v>
      </c>
      <c r="I261" s="41">
        <v>0</v>
      </c>
      <c r="L261" s="134">
        <f>L258/L257</f>
        <v>7.6923076923076927E-2</v>
      </c>
    </row>
    <row r="262" spans="4:12" ht="18.75" x14ac:dyDescent="0.25">
      <c r="E262" s="84" t="s">
        <v>473</v>
      </c>
      <c r="F262" s="115">
        <f>COUNTIF(K$6:K$116,"*BFR*")</f>
        <v>0</v>
      </c>
      <c r="G262" s="103">
        <f t="shared" si="126"/>
        <v>0</v>
      </c>
      <c r="H262" s="102">
        <f t="shared" si="127"/>
        <v>0</v>
      </c>
      <c r="I262" s="41">
        <v>0</v>
      </c>
      <c r="J262" s="35"/>
      <c r="K262" s="35"/>
    </row>
    <row r="263" spans="4:12" ht="18.75" x14ac:dyDescent="0.25">
      <c r="E263" s="84" t="s">
        <v>474</v>
      </c>
      <c r="F263" s="115">
        <f>COUNTIF(K$6:K$116,"*Ofag*")</f>
        <v>0</v>
      </c>
      <c r="G263" s="103">
        <f t="shared" si="126"/>
        <v>0</v>
      </c>
      <c r="H263" s="102">
        <f t="shared" si="127"/>
        <v>0</v>
      </c>
      <c r="I263" s="41">
        <v>0</v>
      </c>
      <c r="J263" s="35"/>
      <c r="K263" s="35"/>
    </row>
    <row r="264" spans="4:12" ht="18.75" x14ac:dyDescent="0.25">
      <c r="E264" s="84" t="s">
        <v>475</v>
      </c>
      <c r="F264" s="115">
        <f>COUNTIF(K$6:K$116,"*ARLA*")</f>
        <v>0</v>
      </c>
      <c r="G264" s="103">
        <f t="shared" si="126"/>
        <v>0</v>
      </c>
      <c r="H264" s="102">
        <f t="shared" si="127"/>
        <v>0</v>
      </c>
      <c r="I264" s="41">
        <v>0</v>
      </c>
      <c r="J264" s="35"/>
      <c r="K264" s="35"/>
    </row>
    <row r="265" spans="4:12" ht="18.75" x14ac:dyDescent="0.25">
      <c r="E265" s="84" t="s">
        <v>476</v>
      </c>
      <c r="F265" s="115">
        <f>COUNTIF(K$6:K$116,"*PMRA*")</f>
        <v>0</v>
      </c>
      <c r="G265" s="103">
        <f t="shared" si="126"/>
        <v>0</v>
      </c>
      <c r="H265" s="102">
        <f t="shared" si="127"/>
        <v>0</v>
      </c>
      <c r="I265" s="41">
        <v>0</v>
      </c>
      <c r="J265" s="35"/>
      <c r="K265" s="35"/>
    </row>
    <row r="266" spans="4:12" ht="18.75" x14ac:dyDescent="0.25">
      <c r="E266" s="84" t="s">
        <v>477</v>
      </c>
      <c r="F266" s="115">
        <f>COUNTIF(K$6:K$116,"*APVMA*")</f>
        <v>0</v>
      </c>
      <c r="G266" s="103">
        <f t="shared" si="126"/>
        <v>0</v>
      </c>
      <c r="H266" s="102">
        <f t="shared" si="127"/>
        <v>0</v>
      </c>
      <c r="I266" s="41">
        <v>0</v>
      </c>
      <c r="J266" s="35"/>
      <c r="K266" s="35"/>
    </row>
    <row r="267" spans="4:12" ht="18.75" x14ac:dyDescent="0.25">
      <c r="E267" s="84" t="s">
        <v>478</v>
      </c>
      <c r="F267" s="115">
        <f>COUNTIF(K$6:K$116,"*NZ EPA*")</f>
        <v>0</v>
      </c>
      <c r="G267" s="103">
        <f t="shared" si="126"/>
        <v>0</v>
      </c>
      <c r="H267" s="102">
        <f t="shared" si="127"/>
        <v>0</v>
      </c>
      <c r="I267" s="41">
        <v>0</v>
      </c>
      <c r="J267" s="35"/>
      <c r="K267" s="35"/>
    </row>
    <row r="268" spans="4:12" ht="18.75" x14ac:dyDescent="0.25">
      <c r="E268" s="84" t="s">
        <v>479</v>
      </c>
      <c r="F268" s="115">
        <f>COUNTIF(K$6:K$116,"*RDA*")</f>
        <v>0</v>
      </c>
      <c r="G268" s="103">
        <f t="shared" si="126"/>
        <v>0</v>
      </c>
      <c r="H268" s="102">
        <f t="shared" si="127"/>
        <v>0</v>
      </c>
      <c r="I268" s="41">
        <v>0</v>
      </c>
      <c r="J268" s="35"/>
      <c r="K268" s="35"/>
    </row>
    <row r="269" spans="4:12" ht="18.75" x14ac:dyDescent="0.25">
      <c r="E269" s="84" t="s">
        <v>480</v>
      </c>
      <c r="F269" s="115">
        <f>COUNTIF(K$6:K$116,"*FSC*")</f>
        <v>0</v>
      </c>
      <c r="G269" s="103">
        <f t="shared" si="126"/>
        <v>0</v>
      </c>
      <c r="H269" s="102">
        <f t="shared" si="127"/>
        <v>0</v>
      </c>
      <c r="I269" s="41">
        <v>0</v>
      </c>
      <c r="J269" s="35"/>
      <c r="K269" s="35"/>
    </row>
    <row r="270" spans="4:12" ht="18.75" x14ac:dyDescent="0.25">
      <c r="F270" s="115"/>
      <c r="G270" s="105"/>
      <c r="H270" s="105"/>
      <c r="I270" s="41"/>
      <c r="J270" s="35"/>
      <c r="K270" s="35"/>
    </row>
    <row r="271" spans="4:12" x14ac:dyDescent="0.25">
      <c r="F271" s="35"/>
      <c r="G271" s="35"/>
      <c r="H271" s="41"/>
      <c r="I271" s="114"/>
      <c r="J271" s="35"/>
      <c r="K271" s="35"/>
    </row>
    <row r="272" spans="4:12" ht="28.5" x14ac:dyDescent="0.25">
      <c r="D272" s="64" t="s">
        <v>370</v>
      </c>
      <c r="E272" s="24"/>
      <c r="H272" s="112"/>
      <c r="I272" s="113"/>
      <c r="J272" s="35"/>
      <c r="K272" s="35"/>
    </row>
    <row r="273" spans="4:11" ht="18.75" x14ac:dyDescent="0.3">
      <c r="E273" s="65"/>
      <c r="G273" s="35" t="s">
        <v>371</v>
      </c>
      <c r="H273" s="112"/>
      <c r="I273" s="113"/>
      <c r="J273" s="118">
        <f>SUM(N6:N116)</f>
        <v>94925</v>
      </c>
      <c r="K273" s="35"/>
    </row>
    <row r="274" spans="4:11" ht="18.75" x14ac:dyDescent="0.25">
      <c r="E274" s="84" t="s">
        <v>372</v>
      </c>
      <c r="F274" s="115">
        <f>COUNTIFS(L$6:L$116,"*,*",H$6:H$116,"*pour*")</f>
        <v>2</v>
      </c>
      <c r="G274" s="103">
        <f>F274/$K$221</f>
        <v>2.4691358024691357E-2</v>
      </c>
      <c r="H274" s="105"/>
      <c r="I274" s="119"/>
      <c r="J274" s="35"/>
      <c r="K274" s="35"/>
    </row>
    <row r="275" spans="4:11" ht="18.75" x14ac:dyDescent="0.25">
      <c r="E275" s="84" t="s">
        <v>373</v>
      </c>
      <c r="F275" s="115">
        <f>COUNTIFS(L$6:L$116,"*,*",H$6:H$116,"*neutre*")</f>
        <v>1</v>
      </c>
      <c r="G275" s="116">
        <f>F275/$K$221</f>
        <v>1.2345679012345678E-2</v>
      </c>
      <c r="H275" s="105"/>
      <c r="I275" s="120"/>
      <c r="J275" s="35"/>
      <c r="K275" s="35"/>
    </row>
    <row r="276" spans="4:11" ht="19.5" thickBot="1" x14ac:dyDescent="0.3">
      <c r="E276" s="84" t="s">
        <v>374</v>
      </c>
      <c r="F276" s="115">
        <f>COUNTIFS(L$6:L$116,"*,*",H$6:H$116,"*contre*")</f>
        <v>3</v>
      </c>
      <c r="G276" s="102">
        <f>F276/$K$221</f>
        <v>3.7037037037037035E-2</v>
      </c>
      <c r="H276" s="105"/>
      <c r="I276" s="53"/>
      <c r="J276" s="35"/>
      <c r="K276" s="35"/>
    </row>
    <row r="277" spans="4:11" ht="19.5" thickBot="1" x14ac:dyDescent="0.3">
      <c r="E277" s="84" t="s">
        <v>375</v>
      </c>
      <c r="F277" s="3">
        <f>COUNTIFS(L6:L116,"*,*")</f>
        <v>6</v>
      </c>
      <c r="G277" s="117">
        <f>F277/$K$221</f>
        <v>7.407407407407407E-2</v>
      </c>
      <c r="H277" s="121"/>
      <c r="I277" s="43"/>
      <c r="J277" s="35"/>
      <c r="K277" s="35"/>
    </row>
    <row r="278" spans="4:11" ht="21" x14ac:dyDescent="0.25">
      <c r="E278" s="88"/>
      <c r="F278" s="142">
        <v>81</v>
      </c>
      <c r="G278" s="105">
        <f>100%-G277</f>
        <v>0.92592592592592593</v>
      </c>
      <c r="H278" s="120"/>
      <c r="I278" s="119"/>
      <c r="J278" s="35"/>
      <c r="K278" s="35"/>
    </row>
    <row r="279" spans="4:11" ht="18.75" x14ac:dyDescent="0.25">
      <c r="E279" s="84" t="s">
        <v>385</v>
      </c>
      <c r="F279" s="122">
        <f>SUMIFS(N6:N116,H6:H116,"*pour*",L6:L116,"*,*")</f>
        <v>890</v>
      </c>
      <c r="G279" s="103">
        <f>F279/$J$273</f>
        <v>9.3758230181722416E-3</v>
      </c>
      <c r="H279" s="120"/>
      <c r="I279" s="119"/>
      <c r="J279" s="35"/>
      <c r="K279" s="35"/>
    </row>
    <row r="280" spans="4:11" ht="18.75" x14ac:dyDescent="0.25">
      <c r="E280" s="84" t="s">
        <v>386</v>
      </c>
      <c r="F280" s="122">
        <f>SUMIFS(N6:N116,H6:H116,"*neutre*",L6:L116,"*,*")</f>
        <v>784</v>
      </c>
      <c r="G280" s="116">
        <f>F280/$J$273</f>
        <v>8.2591519620753232E-3</v>
      </c>
      <c r="H280" s="112"/>
      <c r="I280" s="35"/>
      <c r="J280" s="35"/>
      <c r="K280" s="35"/>
    </row>
    <row r="281" spans="4:11" ht="19.5" thickBot="1" x14ac:dyDescent="0.3">
      <c r="E281" s="84" t="s">
        <v>387</v>
      </c>
      <c r="F281" s="122">
        <f>SUMIFS(N6:N116,H6:H116,"*contre*",L6:L116,"*,*")</f>
        <v>1052</v>
      </c>
      <c r="G281" s="102">
        <f>F281/$J$273</f>
        <v>1.1082433500131684E-2</v>
      </c>
      <c r="H281" s="112"/>
      <c r="I281" s="35"/>
      <c r="J281" s="35"/>
      <c r="K281" s="35"/>
    </row>
    <row r="282" spans="4:11" ht="19.5" thickBot="1" x14ac:dyDescent="0.3">
      <c r="E282" s="84" t="s">
        <v>388</v>
      </c>
      <c r="F282" s="143">
        <f>SUM((SUMIFS(N6:N116,L6:L116,"*!*"))+(SUMIFS(N6:N116,L6:L116,"*,*")))</f>
        <v>2726</v>
      </c>
      <c r="G282" s="117">
        <f>F282/$J$273</f>
        <v>2.8717408480379247E-2</v>
      </c>
      <c r="H282" s="112"/>
    </row>
    <row r="283" spans="4:11" ht="18.75" x14ac:dyDescent="0.25">
      <c r="E283" s="80"/>
      <c r="F283" s="115"/>
      <c r="G283" s="105">
        <f>100%-G282</f>
        <v>0.97128259151962071</v>
      </c>
      <c r="H283" s="41"/>
    </row>
    <row r="284" spans="4:11" ht="28.5" x14ac:dyDescent="0.25">
      <c r="D284" s="64" t="s">
        <v>376</v>
      </c>
      <c r="E284" s="24"/>
      <c r="H284" s="112"/>
      <c r="I284" s="35"/>
    </row>
    <row r="285" spans="4:11" ht="18.75" x14ac:dyDescent="0.3">
      <c r="E285" s="65"/>
      <c r="G285" s="35" t="s">
        <v>371</v>
      </c>
      <c r="H285" s="112"/>
      <c r="I285" s="35"/>
    </row>
    <row r="286" spans="4:11" ht="18.75" x14ac:dyDescent="0.25">
      <c r="E286" s="126" t="s">
        <v>482</v>
      </c>
      <c r="F286" s="115">
        <f>COUNTIF(M$6:M$116,"*,*")</f>
        <v>26</v>
      </c>
      <c r="G286" s="102">
        <f>F286/$K$221</f>
        <v>0.32098765432098764</v>
      </c>
      <c r="H286" s="105"/>
      <c r="I286" s="35"/>
    </row>
    <row r="287" spans="4:11" ht="18.75" x14ac:dyDescent="0.25">
      <c r="E287" s="126" t="s">
        <v>483</v>
      </c>
      <c r="F287" s="115">
        <f>COUNTIF(M$6:M$116,"*!*")</f>
        <v>17</v>
      </c>
      <c r="G287" s="103">
        <f>F287/$K$221</f>
        <v>0.20987654320987653</v>
      </c>
      <c r="H287" s="105"/>
      <c r="I287" s="35"/>
    </row>
    <row r="288" spans="4:11" ht="19.5" thickBot="1" x14ac:dyDescent="0.3">
      <c r="E288" s="126"/>
      <c r="F288" s="115"/>
      <c r="G288" s="105"/>
      <c r="H288" s="105"/>
      <c r="I288" s="35"/>
    </row>
    <row r="289" spans="4:9" ht="19.5" thickBot="1" x14ac:dyDescent="0.3">
      <c r="E289" s="126" t="s">
        <v>384</v>
      </c>
      <c r="F289" s="115">
        <f>SUM((COUNTIFS(M6:M116,"*!*",M6:M116,"&lt;&gt;*,*"))+(COUNTIFS(M6:M116,"*,*",M6:M116,"&lt;&gt;*!*"))+(COUNTIFS(M6:M116,"*,*",M6:M116,"*!*")))</f>
        <v>33</v>
      </c>
      <c r="G289" s="117">
        <f>F289/81</f>
        <v>0.40740740740740738</v>
      </c>
      <c r="H289" s="121"/>
      <c r="I289" s="35"/>
    </row>
    <row r="290" spans="4:9" ht="18.75" x14ac:dyDescent="0.25">
      <c r="E290" s="127"/>
      <c r="G290" s="105">
        <f>100%-G289</f>
        <v>0.59259259259259256</v>
      </c>
      <c r="H290" s="120"/>
      <c r="I290" s="35"/>
    </row>
    <row r="291" spans="4:9" ht="18.75" x14ac:dyDescent="0.25">
      <c r="E291" s="126" t="s">
        <v>484</v>
      </c>
      <c r="F291" s="122">
        <f>SUMIF(M$6:M$116,"*,*",N$6:N$116)</f>
        <v>29812</v>
      </c>
      <c r="G291" s="102">
        <f>F291/$J$273</f>
        <v>0.31405846721095604</v>
      </c>
      <c r="H291" s="120"/>
      <c r="I291" s="35"/>
    </row>
    <row r="292" spans="4:9" ht="18.75" x14ac:dyDescent="0.25">
      <c r="E292" s="126" t="s">
        <v>485</v>
      </c>
      <c r="F292" s="122">
        <f>SUMIF(M$6:M$116,"*!*",N$6:N$116)</f>
        <v>19264</v>
      </c>
      <c r="G292" s="103">
        <f>F292/$J$273</f>
        <v>0.20293916249670793</v>
      </c>
      <c r="H292" s="112"/>
      <c r="I292" s="35"/>
    </row>
    <row r="293" spans="4:9" ht="19.5" thickBot="1" x14ac:dyDescent="0.3">
      <c r="E293" s="126"/>
      <c r="F293" s="122"/>
      <c r="G293" s="105"/>
      <c r="H293" s="112"/>
      <c r="I293" s="35"/>
    </row>
    <row r="294" spans="4:9" ht="19.5" thickBot="1" x14ac:dyDescent="0.3">
      <c r="E294" s="126" t="s">
        <v>389</v>
      </c>
      <c r="F294" s="143">
        <f>SUM((SUMIFS(N6:N116,M6:M116,"*!*",M6:M116,"&lt;&gt;*,*"))+(SUMIFS(N6:N116,M6:M116,"*,*",M6:M116,"&lt;&gt;*!*"))+(SUMIFS(N6:N116,M6:M116,"*,*",M6:M116,"*!*")))</f>
        <v>31355</v>
      </c>
      <c r="G294" s="117">
        <f>F294/$J$273</f>
        <v>0.33031340531998948</v>
      </c>
      <c r="H294" s="112"/>
      <c r="I294" s="35"/>
    </row>
    <row r="295" spans="4:9" ht="18.75" x14ac:dyDescent="0.25">
      <c r="E295" s="127"/>
      <c r="G295" s="105">
        <f>100%-G294</f>
        <v>0.66968659468001057</v>
      </c>
      <c r="H295" s="120"/>
      <c r="I295" s="35"/>
    </row>
    <row r="296" spans="4:9" ht="21" x14ac:dyDescent="0.25">
      <c r="E296" s="88" t="s">
        <v>406</v>
      </c>
      <c r="F296" s="122"/>
      <c r="H296" s="120"/>
      <c r="I296" s="35"/>
    </row>
    <row r="297" spans="4:9" ht="18.75" x14ac:dyDescent="0.25">
      <c r="E297" s="126" t="s">
        <v>390</v>
      </c>
      <c r="F297" s="122">
        <f>SUMIFS(N6:N116,M6:M116,"*future*")</f>
        <v>18135</v>
      </c>
      <c r="G297" s="103">
        <f t="shared" ref="G297:G306" si="128">F297/$J$273</f>
        <v>0.19104556228601527</v>
      </c>
      <c r="H297" s="112"/>
      <c r="I297" s="35"/>
    </row>
    <row r="298" spans="4:9" ht="18.75" x14ac:dyDescent="0.25">
      <c r="E298" s="126" t="s">
        <v>393</v>
      </c>
      <c r="F298" s="122">
        <f>SUMIFS(N7:N117,M7:M117,"*cancer*")</f>
        <v>16802</v>
      </c>
      <c r="G298" s="103">
        <f t="shared" si="128"/>
        <v>0.17700289702396629</v>
      </c>
      <c r="H298" s="112"/>
      <c r="I298" s="35"/>
    </row>
    <row r="299" spans="4:9" ht="18.75" x14ac:dyDescent="0.25">
      <c r="E299" s="126" t="s">
        <v>392</v>
      </c>
      <c r="F299" s="122">
        <f>SUMIFS(N8:N118,M8:M118,"*foodw*")</f>
        <v>16802</v>
      </c>
      <c r="G299" s="103">
        <f t="shared" si="128"/>
        <v>0.17700289702396629</v>
      </c>
      <c r="H299" s="112"/>
      <c r="I299" s="35"/>
    </row>
    <row r="300" spans="4:9" ht="18.75" x14ac:dyDescent="0.25">
      <c r="E300" s="126" t="s">
        <v>391</v>
      </c>
      <c r="F300" s="122">
        <f>SUMIFS(N9:N119,M9:M119,"*greenpeace*")</f>
        <v>12804</v>
      </c>
      <c r="G300" s="103">
        <f t="shared" si="128"/>
        <v>0.13488543587042401</v>
      </c>
      <c r="H300" s="41"/>
      <c r="I300" s="35"/>
    </row>
    <row r="301" spans="4:9" ht="18.75" x14ac:dyDescent="0.25">
      <c r="D301" s="35"/>
      <c r="E301" s="126" t="s">
        <v>394</v>
      </c>
      <c r="F301" s="122">
        <f>SUMIFS(N10:N120,M10:M120,"*friend*")</f>
        <v>7642</v>
      </c>
      <c r="G301" s="103">
        <f t="shared" si="128"/>
        <v>8.0505662365025016E-2</v>
      </c>
    </row>
    <row r="302" spans="4:9" ht="18.75" x14ac:dyDescent="0.25">
      <c r="D302" s="35"/>
      <c r="E302" s="126" t="s">
        <v>397</v>
      </c>
      <c r="F302" s="122">
        <f>SUMIFS(N11:N121,M11:M121,"*PS*")</f>
        <v>2940</v>
      </c>
      <c r="G302" s="103">
        <f t="shared" si="128"/>
        <v>3.0971819857782461E-2</v>
      </c>
    </row>
    <row r="303" spans="4:9" ht="18.75" x14ac:dyDescent="0.25">
      <c r="E303" s="126" t="s">
        <v>396</v>
      </c>
      <c r="F303" s="122">
        <f>SUMIFS(N12:N122,M12:M122,"*LV*")</f>
        <v>2845</v>
      </c>
      <c r="G303" s="103">
        <f t="shared" si="128"/>
        <v>2.9971029760337109E-2</v>
      </c>
    </row>
    <row r="304" spans="4:9" ht="18.75" x14ac:dyDescent="0.25">
      <c r="E304" s="126" t="s">
        <v>398</v>
      </c>
      <c r="F304" s="122">
        <f>SUMIFS(N13:N123,M13:M123,"*Bov*")</f>
        <v>2548</v>
      </c>
      <c r="G304" s="103">
        <f t="shared" si="128"/>
        <v>2.68422438767448E-2</v>
      </c>
    </row>
    <row r="305" spans="5:11" ht="18.75" x14ac:dyDescent="0.25">
      <c r="E305" s="126" t="s">
        <v>395</v>
      </c>
      <c r="F305" s="122">
        <f>SUMIFS(N14:N124,M14:M124,"*paysan*")</f>
        <v>782</v>
      </c>
      <c r="G305" s="103">
        <f t="shared" si="128"/>
        <v>8.2380826968659476E-3</v>
      </c>
    </row>
    <row r="306" spans="5:11" ht="19.5" thickBot="1" x14ac:dyDescent="0.3">
      <c r="E306" s="126" t="s">
        <v>399</v>
      </c>
      <c r="F306" s="122">
        <f>SUMIFS(N15:N125,M15:M125,"*UICN*")</f>
        <v>19</v>
      </c>
      <c r="G306" s="103">
        <f t="shared" si="128"/>
        <v>2.0015801948907033E-4</v>
      </c>
    </row>
    <row r="307" spans="5:11" ht="19.5" thickBot="1" x14ac:dyDescent="0.3">
      <c r="E307" s="126" t="s">
        <v>407</v>
      </c>
      <c r="F307" s="3">
        <f>((SUMIFS(N15:N125,M15:M125,"*,*")))-F315</f>
        <v>21412</v>
      </c>
      <c r="G307" s="117">
        <f>(SUMIFS(N15:N125,M15:M125,"*,*"))/J273</f>
        <v>0.30116407690281799</v>
      </c>
    </row>
    <row r="308" spans="5:11" x14ac:dyDescent="0.25">
      <c r="E308" s="127"/>
    </row>
    <row r="309" spans="5:11" ht="21" x14ac:dyDescent="0.25">
      <c r="E309" s="88" t="s">
        <v>405</v>
      </c>
      <c r="F309" s="122"/>
    </row>
    <row r="310" spans="5:11" ht="18.75" x14ac:dyDescent="0.25">
      <c r="E310" s="126" t="s">
        <v>402</v>
      </c>
      <c r="F310" s="122">
        <f>SUMIFS(N18:N128,M18:M128,"*FNS*")</f>
        <v>12534</v>
      </c>
      <c r="G310" s="103">
        <f>F310/$J$273</f>
        <v>0.13204108506715828</v>
      </c>
    </row>
    <row r="311" spans="5:11" ht="18.75" x14ac:dyDescent="0.25">
      <c r="E311" s="126" t="s">
        <v>403</v>
      </c>
      <c r="F311" s="122">
        <f>SUMIFS(N19:N129,M19:M129,"*COPA*")</f>
        <v>5244</v>
      </c>
      <c r="G311" s="103">
        <f>F311/$J$273</f>
        <v>5.5243613378983411E-2</v>
      </c>
    </row>
    <row r="312" spans="5:11" ht="18.75" x14ac:dyDescent="0.25">
      <c r="E312" s="126" t="s">
        <v>401</v>
      </c>
      <c r="F312" s="122">
        <f>SUMIFS(N20:N130,M20:M130,"*monsanto*")</f>
        <v>750</v>
      </c>
      <c r="G312" s="103">
        <f>F312/$J$273</f>
        <v>7.900974453515933E-3</v>
      </c>
    </row>
    <row r="313" spans="5:11" ht="18.75" x14ac:dyDescent="0.25">
      <c r="E313" s="126" t="s">
        <v>400</v>
      </c>
      <c r="F313" s="122">
        <f>SUMIFS(N21:N131,M21:M131,"*task*")</f>
        <v>30</v>
      </c>
      <c r="G313" s="103">
        <f>F313/$J$273</f>
        <v>3.1603897814063732E-4</v>
      </c>
    </row>
    <row r="314" spans="5:11" ht="19.5" thickBot="1" x14ac:dyDescent="0.3">
      <c r="E314" s="126" t="s">
        <v>404</v>
      </c>
      <c r="F314" s="122">
        <f>SUMIFS(N22:N132,M22:M132,"*coordin*")</f>
        <v>8</v>
      </c>
      <c r="G314" s="103">
        <f>F314/$J$273</f>
        <v>8.4277060837503295E-5</v>
      </c>
    </row>
    <row r="315" spans="5:11" ht="19.5" thickBot="1" x14ac:dyDescent="0.3">
      <c r="E315" s="126" t="s">
        <v>408</v>
      </c>
      <c r="F315" s="3">
        <f>(SUMIFS(N23:N133,M23:M133,"*!*"))</f>
        <v>7176</v>
      </c>
      <c r="G315" s="117">
        <f>(SUMIFS(N15:N125,M15:M125,"*!*"))/J273</f>
        <v>0.1888438240716355</v>
      </c>
    </row>
    <row r="316" spans="5:11" x14ac:dyDescent="0.25">
      <c r="F316" s="122"/>
    </row>
    <row r="317" spans="5:11" x14ac:dyDescent="0.25">
      <c r="F317" s="122"/>
      <c r="I317" s="35"/>
      <c r="J317" s="35"/>
      <c r="K317" s="35"/>
    </row>
    <row r="318" spans="5:11" x14ac:dyDescent="0.25">
      <c r="F318" s="122"/>
      <c r="H318" s="35"/>
      <c r="I318" s="128"/>
      <c r="J318" s="35"/>
      <c r="K318" s="35"/>
    </row>
    <row r="319" spans="5:11" x14ac:dyDescent="0.25">
      <c r="F319" s="122"/>
      <c r="H319" s="35"/>
      <c r="I319" s="41"/>
      <c r="J319" s="35"/>
      <c r="K319" s="35"/>
    </row>
    <row r="320" spans="5:11" x14ac:dyDescent="0.25">
      <c r="F320" s="122"/>
      <c r="H320" s="35"/>
      <c r="I320" s="128"/>
      <c r="J320" s="35"/>
      <c r="K320" s="35"/>
    </row>
    <row r="321" spans="8:11" x14ac:dyDescent="0.25">
      <c r="H321" s="35"/>
      <c r="I321" s="128"/>
      <c r="J321" s="35"/>
      <c r="K321" s="35"/>
    </row>
    <row r="322" spans="8:11" x14ac:dyDescent="0.25">
      <c r="H322" s="35"/>
      <c r="I322" s="112"/>
      <c r="J322" s="35"/>
      <c r="K322" s="35"/>
    </row>
    <row r="323" spans="8:11" x14ac:dyDescent="0.25">
      <c r="H323" s="35"/>
      <c r="I323" s="112"/>
      <c r="J323" s="35"/>
      <c r="K323" s="35"/>
    </row>
    <row r="324" spans="8:11" x14ac:dyDescent="0.25">
      <c r="H324" s="35"/>
      <c r="I324" s="112"/>
      <c r="J324" s="35"/>
      <c r="K324" s="35"/>
    </row>
    <row r="325" spans="8:11" x14ac:dyDescent="0.25">
      <c r="H325" s="35"/>
      <c r="I325" s="112"/>
      <c r="J325" s="35"/>
      <c r="K325" s="35"/>
    </row>
    <row r="326" spans="8:11" x14ac:dyDescent="0.25">
      <c r="H326" s="35"/>
      <c r="I326" s="35"/>
      <c r="J326" s="35"/>
      <c r="K326" s="35"/>
    </row>
    <row r="327" spans="8:11" x14ac:dyDescent="0.25">
      <c r="H327" s="35"/>
      <c r="I327" s="35"/>
      <c r="J327" s="35"/>
      <c r="K327" s="35"/>
    </row>
    <row r="328" spans="8:11" x14ac:dyDescent="0.25">
      <c r="H328" s="35"/>
      <c r="I328" s="35"/>
      <c r="J328" s="35"/>
      <c r="K328" s="35"/>
    </row>
    <row r="329" spans="8:11" x14ac:dyDescent="0.25">
      <c r="H329" s="35"/>
      <c r="I329" s="35"/>
      <c r="J329" s="35"/>
      <c r="K329" s="35"/>
    </row>
    <row r="330" spans="8:11" x14ac:dyDescent="0.25">
      <c r="H330" s="35"/>
      <c r="I330" s="35"/>
      <c r="J330" s="35"/>
      <c r="K330" s="35"/>
    </row>
    <row r="331" spans="8:11" x14ac:dyDescent="0.25">
      <c r="H331" s="35"/>
      <c r="I331" s="35"/>
      <c r="J331" s="35"/>
      <c r="K331" s="35"/>
    </row>
    <row r="332" spans="8:11" x14ac:dyDescent="0.25">
      <c r="H332" s="35"/>
      <c r="I332" s="35"/>
      <c r="J332" s="35"/>
      <c r="K332" s="35"/>
    </row>
    <row r="333" spans="8:11" x14ac:dyDescent="0.25">
      <c r="H333" s="35"/>
      <c r="I333" s="35"/>
      <c r="J333" s="35"/>
      <c r="K333" s="35"/>
    </row>
  </sheetData>
  <sortState ref="E310:G314">
    <sortCondition descending="1" ref="G300"/>
  </sortState>
  <conditionalFormatting sqref="G253:G270">
    <cfRule type="colorScale" priority="15">
      <colorScale>
        <cfvo type="min"/>
        <cfvo type="percentile" val="50"/>
        <cfvo type="max"/>
        <color rgb="FFC00000"/>
        <color theme="7"/>
        <color theme="9" tint="-0.249977111117893"/>
      </colorScale>
    </cfRule>
    <cfRule type="colorScale" priority="16">
      <colorScale>
        <cfvo type="min"/>
        <cfvo type="max"/>
        <color rgb="FFC00000"/>
        <color rgb="FFFFC000"/>
      </colorScale>
    </cfRule>
  </conditionalFormatting>
  <conditionalFormatting sqref="G205:G217">
    <cfRule type="colorScale" priority="13">
      <colorScale>
        <cfvo type="min"/>
        <cfvo type="percentile" val="50"/>
        <cfvo type="max"/>
        <color rgb="FFC00000"/>
        <color theme="7"/>
        <color theme="9" tint="-0.249977111117893"/>
      </colorScale>
    </cfRule>
  </conditionalFormatting>
  <conditionalFormatting sqref="G222:H233 G235:H247">
    <cfRule type="colorScale" priority="6">
      <colorScale>
        <cfvo type="min"/>
        <cfvo type="percentile" val="50"/>
        <cfvo type="max"/>
        <color rgb="FFC00000"/>
        <color rgb="FFFFC000"/>
        <color rgb="FF408C3C"/>
      </colorScale>
    </cfRule>
  </conditionalFormatting>
  <conditionalFormatting sqref="H256:H270">
    <cfRule type="colorScale" priority="5">
      <colorScale>
        <cfvo type="min"/>
        <cfvo type="percentile" val="50"/>
        <cfvo type="max"/>
        <color rgb="FFC00000"/>
        <color rgb="FFFFC000"/>
        <color rgb="FF408C3C"/>
      </colorScale>
    </cfRule>
  </conditionalFormatting>
  <conditionalFormatting sqref="H253">
    <cfRule type="colorScale" priority="4">
      <colorScale>
        <cfvo type="min"/>
        <cfvo type="percentile" val="50"/>
        <cfvo type="max"/>
        <color rgb="FFC00000"/>
        <color rgb="FFFFC000"/>
        <color rgb="FF408C3C"/>
      </colorScale>
    </cfRule>
  </conditionalFormatting>
  <conditionalFormatting sqref="G253:H270">
    <cfRule type="colorScale" priority="3">
      <colorScale>
        <cfvo type="min"/>
        <cfvo type="percentile" val="50"/>
        <cfvo type="max"/>
        <color rgb="FFC00000"/>
        <color rgb="FFFFC000"/>
        <color rgb="FF408C3C"/>
      </colorScale>
    </cfRule>
  </conditionalFormatting>
  <conditionalFormatting sqref="E297:E306 E310:E314 G310:G314 G297:G306">
    <cfRule type="colorScale" priority="2">
      <colorScale>
        <cfvo type="min"/>
        <cfvo type="percentile" val="50"/>
        <cfvo type="max"/>
        <color rgb="FFC00000"/>
        <color rgb="FFFFFF00"/>
        <color rgb="FF408C3C"/>
      </colorScale>
    </cfRule>
  </conditionalFormatting>
  <conditionalFormatting sqref="G297:G306 G310:G314">
    <cfRule type="colorScale" priority="1">
      <colorScale>
        <cfvo type="min"/>
        <cfvo type="percentile" val="50"/>
        <cfvo type="max"/>
        <color rgb="FFC00000"/>
        <color rgb="FFFFC000"/>
        <color rgb="FF408C3C"/>
      </colorScale>
    </cfRule>
  </conditionalFormatting>
  <hyperlinks>
    <hyperlink ref="F16" r:id="rId1"/>
    <hyperlink ref="F7" r:id="rId2"/>
    <hyperlink ref="F8" r:id="rId3"/>
    <hyperlink ref="F10" r:id="rId4"/>
    <hyperlink ref="F11" r:id="rId5"/>
    <hyperlink ref="F12" r:id="rId6"/>
    <hyperlink ref="F13" r:id="rId7"/>
    <hyperlink ref="F14" r:id="rId8"/>
    <hyperlink ref="F15" r:id="rId9"/>
    <hyperlink ref="F17" r:id="rId10"/>
    <hyperlink ref="F6" r:id="rId11"/>
    <hyperlink ref="F30" r:id="rId12"/>
    <hyperlink ref="F9" r:id="rId13"/>
    <hyperlink ref="F35" r:id="rId14"/>
    <hyperlink ref="F39" r:id="rId15"/>
    <hyperlink ref="F33" r:id="rId16"/>
    <hyperlink ref="F41" r:id="rId17"/>
    <hyperlink ref="F48" r:id="rId18"/>
    <hyperlink ref="F49" r:id="rId19"/>
    <hyperlink ref="F45" r:id="rId20"/>
    <hyperlink ref="F58" r:id="rId21"/>
    <hyperlink ref="F65" r:id="rId22"/>
    <hyperlink ref="F47" r:id="rId23"/>
    <hyperlink ref="F76" r:id="rId24"/>
    <hyperlink ref="F85" r:id="rId25"/>
    <hyperlink ref="F66" r:id="rId26"/>
    <hyperlink ref="F86" r:id="rId27"/>
    <hyperlink ref="F104" r:id="rId28"/>
    <hyperlink ref="F114" r:id="rId29"/>
    <hyperlink ref="F71" r:id="rId30"/>
  </hyperlinks>
  <pageMargins left="0.7" right="0.7" top="0.75" bottom="0.75" header="0.3" footer="0.3"/>
  <pageSetup paperSize="9" orientation="portrait"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Vindinum</dc:creator>
  <cp:lastModifiedBy>Vindinum</cp:lastModifiedBy>
  <dcterms:created xsi:type="dcterms:W3CDTF">2017-11-30T14:34:57Z</dcterms:created>
  <dcterms:modified xsi:type="dcterms:W3CDTF">2017-12-10T00:16:43Z</dcterms:modified>
</cp:coreProperties>
</file>